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F:\Avoided Cost - 2025\16 - UTSch38_2025Q2 IRPMar2025 - Sep 2025\October 3, 2025 RMP Reply Comments\"/>
    </mc:Choice>
  </mc:AlternateContent>
  <xr:revisionPtr revIDLastSave="0" documentId="13_ncr:1_{9A6858C8-41BE-490C-B421-1F6A4209755D}" xr6:coauthVersionLast="47" xr6:coauthVersionMax="47" xr10:uidLastSave="{00000000-0000-0000-0000-000000000000}"/>
  <bookViews>
    <workbookView xWindow="-120" yWindow="-120" windowWidth="29040" windowHeight="15720" xr2:uid="{56660B62-63DE-46BE-B4AF-9081D83786E4}"/>
  </bookViews>
  <sheets>
    <sheet name="Table 1 Wd&amp;PV Proxy" sheetId="5" r:id="rId1"/>
    <sheet name="Table 2 WD&amp;PV AvoidedCost" sheetId="6" r:id="rId2"/>
    <sheet name="SCCT" sheetId="1" r:id="rId3"/>
    <sheet name="Load" sheetId="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6" l="1"/>
  <c r="L13" i="6"/>
  <c r="J13" i="6"/>
  <c r="N4" i="6"/>
  <c r="L4" i="6"/>
  <c r="J4" i="6"/>
  <c r="Q14" i="6"/>
  <c r="Q13" i="6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W16" i="6" l="1"/>
  <c r="V16" i="6"/>
  <c r="U16" i="6"/>
  <c r="Q16" i="6"/>
  <c r="AC15" i="6"/>
  <c r="AC16" i="6" s="1"/>
  <c r="AB15" i="6"/>
  <c r="AB16" i="6" s="1"/>
  <c r="AA15" i="6"/>
  <c r="AA16" i="6" s="1"/>
  <c r="Z15" i="6"/>
  <c r="Z16" i="6" s="1"/>
  <c r="Y15" i="6"/>
  <c r="Y16" i="6" s="1"/>
  <c r="X15" i="6"/>
  <c r="X16" i="6" s="1"/>
  <c r="W15" i="6"/>
  <c r="V15" i="6"/>
  <c r="U15" i="6"/>
  <c r="T15" i="6"/>
  <c r="T16" i="6" s="1"/>
  <c r="S15" i="6"/>
  <c r="S16" i="6" s="1"/>
  <c r="R15" i="6"/>
  <c r="R16" i="6" s="1"/>
  <c r="Q15" i="6"/>
  <c r="E15" i="5" l="1"/>
  <c r="C15" i="5"/>
  <c r="F15" i="5" s="1"/>
  <c r="G16" i="5" l="1"/>
  <c r="G15" i="5"/>
  <c r="G13" i="6" l="1"/>
  <c r="E13" i="6"/>
  <c r="C13" i="6"/>
  <c r="B15" i="6"/>
  <c r="C11" i="6"/>
  <c r="D11" i="6"/>
  <c r="E11" i="6"/>
  <c r="F11" i="6"/>
  <c r="G11" i="6"/>
  <c r="H11" i="6"/>
  <c r="B12" i="6"/>
  <c r="C12" i="6"/>
  <c r="D12" i="6"/>
  <c r="E12" i="6"/>
  <c r="F12" i="6"/>
  <c r="G12" i="6"/>
  <c r="H12" i="6"/>
  <c r="C15" i="6"/>
  <c r="E15" i="6"/>
  <c r="G15" i="6"/>
  <c r="A16" i="6"/>
  <c r="B16" i="6"/>
  <c r="C16" i="6"/>
  <c r="D16" i="6"/>
  <c r="E16" i="6"/>
  <c r="F16" i="6"/>
  <c r="G16" i="6"/>
  <c r="H16" i="6"/>
  <c r="A17" i="6"/>
  <c r="B17" i="6"/>
  <c r="C17" i="6"/>
  <c r="D17" i="6"/>
  <c r="E17" i="6"/>
  <c r="F17" i="6"/>
  <c r="G17" i="6"/>
  <c r="H17" i="6"/>
  <c r="A18" i="6"/>
  <c r="B18" i="6"/>
  <c r="C18" i="6"/>
  <c r="D18" i="6"/>
  <c r="E18" i="6"/>
  <c r="F18" i="6"/>
  <c r="G18" i="6"/>
  <c r="H18" i="6"/>
  <c r="F6" i="5" l="1"/>
  <c r="E6" i="5"/>
  <c r="D6" i="5"/>
  <c r="C6" i="5"/>
  <c r="E5" i="6" l="1"/>
  <c r="C5" i="6" l="1"/>
  <c r="G5" i="6"/>
  <c r="G4" i="6" l="1"/>
  <c r="H4" i="6" s="1"/>
  <c r="E4" i="6"/>
  <c r="F4" i="6" s="1"/>
  <c r="C4" i="6" l="1"/>
  <c r="D4" i="6" s="1"/>
  <c r="C2" i="6"/>
  <c r="D2" i="6"/>
  <c r="E2" i="6"/>
  <c r="F2" i="6"/>
  <c r="G2" i="6"/>
  <c r="H2" i="6"/>
  <c r="B3" i="6"/>
  <c r="C3" i="6"/>
  <c r="D3" i="6"/>
  <c r="E3" i="6"/>
  <c r="F3" i="6"/>
  <c r="G3" i="6"/>
  <c r="H3" i="6"/>
  <c r="B6" i="6"/>
  <c r="C6" i="6"/>
  <c r="D5" i="6" s="1"/>
  <c r="J5" i="6" s="1"/>
  <c r="E6" i="6"/>
  <c r="F5" i="6" s="1"/>
  <c r="L5" i="6" s="1"/>
  <c r="G6" i="6"/>
  <c r="H5" i="6" s="1"/>
  <c r="N5" i="6" s="1"/>
  <c r="A7" i="6"/>
  <c r="B7" i="6"/>
  <c r="C7" i="6"/>
  <c r="D7" i="6"/>
  <c r="E7" i="6"/>
  <c r="F7" i="6"/>
  <c r="G7" i="6"/>
  <c r="H7" i="6"/>
  <c r="A8" i="6"/>
  <c r="B8" i="6"/>
  <c r="C8" i="6"/>
  <c r="D8" i="6"/>
  <c r="E8" i="6"/>
  <c r="F8" i="6"/>
  <c r="G8" i="6"/>
  <c r="H8" i="6"/>
  <c r="A9" i="6"/>
  <c r="B9" i="6"/>
  <c r="C9" i="6"/>
  <c r="D9" i="6"/>
  <c r="E9" i="6"/>
  <c r="F9" i="6"/>
  <c r="G9" i="6"/>
  <c r="H9" i="6"/>
  <c r="I6" i="5" l="1"/>
  <c r="H6" i="5"/>
  <c r="G8" i="5"/>
  <c r="G9" i="5"/>
  <c r="H8" i="5"/>
  <c r="H9" i="5"/>
  <c r="I8" i="5"/>
  <c r="I17" i="5" l="1"/>
  <c r="I15" i="5"/>
  <c r="I16" i="5"/>
  <c r="H15" i="5"/>
  <c r="H16" i="5"/>
  <c r="G6" i="5" l="1"/>
  <c r="G10" i="5" l="1"/>
  <c r="H10" i="5"/>
  <c r="I10" i="5"/>
  <c r="G18" i="5"/>
  <c r="H18" i="5" l="1"/>
  <c r="I18" i="5"/>
  <c r="H21" i="2"/>
  <c r="K21" i="2" s="1"/>
  <c r="H20" i="2"/>
  <c r="K20" i="2" s="1"/>
  <c r="H19" i="2"/>
  <c r="K19" i="2" s="1"/>
  <c r="H18" i="2"/>
  <c r="K18" i="2" s="1"/>
  <c r="H17" i="2"/>
  <c r="K17" i="2" s="1"/>
  <c r="H16" i="2"/>
  <c r="K16" i="2" s="1"/>
  <c r="H15" i="2"/>
  <c r="K15" i="2" s="1"/>
  <c r="H14" i="2"/>
  <c r="K14" i="2" s="1"/>
  <c r="H13" i="2"/>
  <c r="K13" i="2" s="1"/>
  <c r="H12" i="2"/>
  <c r="K12" i="2" s="1"/>
  <c r="H11" i="2"/>
  <c r="K11" i="2" s="1"/>
  <c r="H10" i="2"/>
  <c r="K10" i="2" s="1"/>
  <c r="H9" i="2"/>
  <c r="K9" i="2" s="1"/>
  <c r="H8" i="2"/>
  <c r="K8" i="2" s="1"/>
  <c r="H7" i="2"/>
  <c r="K7" i="2" s="1"/>
  <c r="H6" i="2"/>
  <c r="K6" i="2" s="1"/>
  <c r="H5" i="2"/>
  <c r="K5" i="2" s="1"/>
  <c r="H4" i="2"/>
  <c r="K4" i="2" s="1"/>
  <c r="C14" i="6" l="1"/>
  <c r="G14" i="6" l="1"/>
  <c r="E14" i="6"/>
  <c r="D14" i="6"/>
  <c r="D13" i="6"/>
  <c r="J14" i="6" l="1"/>
  <c r="F13" i="6"/>
  <c r="F14" i="6"/>
  <c r="H14" i="6"/>
  <c r="H13" i="6"/>
  <c r="N14" i="6" l="1"/>
  <c r="L14" i="6"/>
  <c r="G4" i="2" l="1"/>
  <c r="J4" i="2" s="1"/>
  <c r="B5" i="2" l="1"/>
  <c r="B6" i="2" l="1"/>
  <c r="G5" i="2"/>
  <c r="J5" i="2" s="1"/>
  <c r="A5" i="1"/>
  <c r="A6" i="1" s="1"/>
  <c r="B7" i="2" l="1"/>
  <c r="G6" i="2"/>
  <c r="J6" i="2" s="1"/>
  <c r="A7" i="1"/>
  <c r="D6" i="1"/>
  <c r="G6" i="1" s="1"/>
  <c r="D4" i="1"/>
  <c r="G4" i="1" s="1"/>
  <c r="B8" i="2" l="1"/>
  <c r="G7" i="2"/>
  <c r="J7" i="2" s="1"/>
  <c r="D5" i="1"/>
  <c r="G5" i="1" s="1"/>
  <c r="A8" i="1"/>
  <c r="B9" i="2" l="1"/>
  <c r="G8" i="2"/>
  <c r="J8" i="2" s="1"/>
  <c r="D7" i="1"/>
  <c r="G7" i="1" s="1"/>
  <c r="A9" i="1"/>
  <c r="B10" i="2" l="1"/>
  <c r="G9" i="2"/>
  <c r="J9" i="2" s="1"/>
  <c r="D8" i="1"/>
  <c r="G8" i="1" s="1"/>
  <c r="A10" i="1"/>
  <c r="B11" i="2" l="1"/>
  <c r="G10" i="2"/>
  <c r="J10" i="2" s="1"/>
  <c r="D9" i="1"/>
  <c r="G9" i="1" s="1"/>
  <c r="A11" i="1"/>
  <c r="B12" i="2" l="1"/>
  <c r="G11" i="2"/>
  <c r="J11" i="2" s="1"/>
  <c r="D10" i="1"/>
  <c r="G10" i="1" s="1"/>
  <c r="A12" i="1"/>
  <c r="B13" i="2" l="1"/>
  <c r="G12" i="2"/>
  <c r="J12" i="2" s="1"/>
  <c r="D11" i="1"/>
  <c r="G11" i="1" s="1"/>
  <c r="A13" i="1"/>
  <c r="B14" i="2" l="1"/>
  <c r="G13" i="2"/>
  <c r="J13" i="2" s="1"/>
  <c r="D12" i="1"/>
  <c r="G12" i="1" s="1"/>
  <c r="A14" i="1"/>
  <c r="B15" i="2" l="1"/>
  <c r="G14" i="2"/>
  <c r="J14" i="2" s="1"/>
  <c r="D13" i="1"/>
  <c r="G13" i="1" s="1"/>
  <c r="A15" i="1"/>
  <c r="B16" i="2" l="1"/>
  <c r="G15" i="2"/>
  <c r="J15" i="2" s="1"/>
  <c r="D14" i="1"/>
  <c r="G14" i="1" s="1"/>
  <c r="A16" i="1"/>
  <c r="B17" i="2" l="1"/>
  <c r="G16" i="2"/>
  <c r="J16" i="2" s="1"/>
  <c r="D15" i="1"/>
  <c r="G15" i="1" s="1"/>
  <c r="A17" i="1"/>
  <c r="B18" i="2" l="1"/>
  <c r="G17" i="2"/>
  <c r="J17" i="2" s="1"/>
  <c r="D16" i="1"/>
  <c r="G16" i="1" s="1"/>
  <c r="B19" i="2" l="1"/>
  <c r="G18" i="2"/>
  <c r="J18" i="2" s="1"/>
  <c r="D17" i="1"/>
  <c r="G17" i="1" s="1"/>
  <c r="B20" i="2" l="1"/>
  <c r="G19" i="2"/>
  <c r="J19" i="2" s="1"/>
  <c r="B21" i="2" l="1"/>
  <c r="G20" i="2"/>
  <c r="J20" i="2" s="1"/>
  <c r="B22" i="2" l="1"/>
  <c r="G21" i="2"/>
  <c r="J21" i="2" s="1"/>
  <c r="B23" i="2" l="1"/>
  <c r="B24" i="2" l="1"/>
</calcChain>
</file>

<file path=xl/sharedStrings.xml><?xml version="1.0" encoding="utf-8"?>
<sst xmlns="http://schemas.openxmlformats.org/spreadsheetml/2006/main" count="80" uniqueCount="46">
  <si>
    <t>Net Revenue ($000)</t>
  </si>
  <si>
    <t>Installed Capacity (MW)</t>
  </si>
  <si>
    <t>GSC.PX.UTN._.___.Frame</t>
  </si>
  <si>
    <t>Year</t>
  </si>
  <si>
    <t>Net Revenue ($/kw-yr)</t>
  </si>
  <si>
    <t>Energy as a % of Capacity Cost</t>
  </si>
  <si>
    <t>SCCT Cost ($/kw-yr)</t>
  </si>
  <si>
    <t>2023 IRP Update</t>
  </si>
  <si>
    <t>Utah 2025 IRP</t>
  </si>
  <si>
    <t>Final 2025 IRP</t>
  </si>
  <si>
    <t>n/a</t>
  </si>
  <si>
    <t>Delta</t>
  </si>
  <si>
    <t>Delta (GWh)</t>
  </si>
  <si>
    <t>Annual Load (GWh)</t>
  </si>
  <si>
    <t>Delta (aMW)</t>
  </si>
  <si>
    <t>Ut25IRP vs 23IRPUp</t>
  </si>
  <si>
    <t>Fin25IRP vs Ut25IRP</t>
  </si>
  <si>
    <t>Wind</t>
  </si>
  <si>
    <t>UT PV</t>
  </si>
  <si>
    <t>OR PV</t>
  </si>
  <si>
    <t>West WY WD</t>
  </si>
  <si>
    <t>East WY WD</t>
  </si>
  <si>
    <t>2025.Q1</t>
  </si>
  <si>
    <t>2025.Q2</t>
  </si>
  <si>
    <t>Non-routine</t>
  </si>
  <si>
    <t>Total PV</t>
  </si>
  <si>
    <t>Total WD</t>
  </si>
  <si>
    <t>2024.Q4</t>
  </si>
  <si>
    <t>West WY PV</t>
  </si>
  <si>
    <t>% reduction in 2027 resource costs</t>
  </si>
  <si>
    <t>Deferred Proxy Resources</t>
  </si>
  <si>
    <t>Capital Cost
($/kw)</t>
  </si>
  <si>
    <t>Small-Scale OR PV</t>
  </si>
  <si>
    <t>Avoided Solar Resource Cost Assumptions</t>
  </si>
  <si>
    <t>Avoided Wind Resource Cost Assumptions</t>
  </si>
  <si>
    <t>…</t>
  </si>
  <si>
    <t>2025.Q1 (23IRP Capital)</t>
  </si>
  <si>
    <t>% change</t>
  </si>
  <si>
    <t>Other data points for comparison</t>
  </si>
  <si>
    <t>Estimated Dispatch Benefits of SCCT from 2023 IRP Update</t>
  </si>
  <si>
    <t>Generation (MWh)</t>
  </si>
  <si>
    <t>Delta %</t>
  </si>
  <si>
    <t>Utah QF</t>
  </si>
  <si>
    <t>WY Proxy</t>
  </si>
  <si>
    <t>Table 2 – Comparison of Recent Wind and Solar Avoided Costs</t>
  </si>
  <si>
    <t>Table 1 – Proxy Wind and Solar Resource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</si>
</sst>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_(* #,##0_);[Red]_(* \(#,##0\);_(* &quot;-&quot;_);_(@_)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name val="Arial"/>
      <family val="2"/>
    </font>
    <font>
      <i/>
      <sz val="11"/>
      <color theme="1"/>
      <name val="Aptos Narrow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color theme="1"/>
      <name val="Aptos Narrow"/>
      <family val="2"/>
      <scheme val="minor"/>
    </font>
    <font>
      <b/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5" fillId="0" borderId="0"/>
    <xf numFmtId="43" fontId="5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43" fontId="0" fillId="0" borderId="0" xfId="1" applyFont="1"/>
    <xf numFmtId="9" fontId="0" fillId="0" borderId="0" xfId="2" applyFont="1"/>
    <xf numFmtId="0" fontId="2" fillId="0" borderId="0" xfId="0" applyFont="1"/>
    <xf numFmtId="164" fontId="0" fillId="0" borderId="0" xfId="0" applyNumberFormat="1"/>
    <xf numFmtId="165" fontId="4" fillId="2" borderId="6" xfId="1" applyNumberFormat="1" applyFont="1" applyFill="1" applyBorder="1" applyAlignment="1">
      <alignment horizontal="center"/>
    </xf>
    <xf numFmtId="165" fontId="4" fillId="2" borderId="7" xfId="1" applyNumberFormat="1" applyFont="1" applyFill="1" applyBorder="1" applyAlignment="1">
      <alignment horizontal="center"/>
    </xf>
    <xf numFmtId="165" fontId="4" fillId="2" borderId="0" xfId="1" applyNumberFormat="1" applyFont="1" applyFill="1" applyBorder="1" applyAlignment="1">
      <alignment horizontal="center"/>
    </xf>
    <xf numFmtId="165" fontId="4" fillId="2" borderId="9" xfId="1" applyNumberFormat="1" applyFont="1" applyFill="1" applyBorder="1" applyAlignment="1">
      <alignment horizontal="center"/>
    </xf>
    <xf numFmtId="0" fontId="2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165" fontId="0" fillId="3" borderId="5" xfId="1" applyNumberFormat="1" applyFont="1" applyFill="1" applyBorder="1" applyAlignment="1">
      <alignment horizontal="center"/>
    </xf>
    <xf numFmtId="165" fontId="0" fillId="3" borderId="6" xfId="1" applyNumberFormat="1" applyFont="1" applyFill="1" applyBorder="1" applyAlignment="1">
      <alignment horizontal="center"/>
    </xf>
    <xf numFmtId="165" fontId="0" fillId="3" borderId="8" xfId="1" applyNumberFormat="1" applyFont="1" applyFill="1" applyBorder="1" applyAlignment="1">
      <alignment horizontal="center"/>
    </xf>
    <xf numFmtId="165" fontId="0" fillId="3" borderId="0" xfId="1" applyNumberFormat="1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/>
    <xf numFmtId="0" fontId="0" fillId="3" borderId="11" xfId="0" applyFill="1" applyBorder="1"/>
    <xf numFmtId="0" fontId="0" fillId="3" borderId="1" xfId="0" applyFill="1" applyBorder="1"/>
    <xf numFmtId="165" fontId="0" fillId="3" borderId="12" xfId="1" applyNumberFormat="1" applyFont="1" applyFill="1" applyBorder="1" applyAlignment="1">
      <alignment horizontal="center"/>
    </xf>
    <xf numFmtId="9" fontId="4" fillId="3" borderId="0" xfId="2" applyFont="1" applyFill="1" applyAlignment="1">
      <alignment horizontal="center"/>
    </xf>
    <xf numFmtId="165" fontId="0" fillId="3" borderId="11" xfId="1" applyNumberFormat="1" applyFont="1" applyFill="1" applyBorder="1" applyAlignment="1">
      <alignment horizontal="center"/>
    </xf>
    <xf numFmtId="0" fontId="0" fillId="3" borderId="12" xfId="0" applyFill="1" applyBorder="1"/>
    <xf numFmtId="165" fontId="0" fillId="3" borderId="9" xfId="1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right"/>
    </xf>
    <xf numFmtId="166" fontId="5" fillId="3" borderId="0" xfId="4" applyFill="1"/>
    <xf numFmtId="166" fontId="6" fillId="3" borderId="0" xfId="4" applyFont="1" applyFill="1"/>
    <xf numFmtId="7" fontId="5" fillId="3" borderId="0" xfId="4" applyNumberFormat="1" applyFill="1"/>
    <xf numFmtId="0" fontId="7" fillId="0" borderId="0" xfId="0" applyFont="1"/>
    <xf numFmtId="14" fontId="7" fillId="0" borderId="0" xfId="0" applyNumberFormat="1" applyFont="1"/>
    <xf numFmtId="166" fontId="3" fillId="3" borderId="0" xfId="4" applyFont="1" applyFill="1" applyAlignment="1">
      <alignment vertical="center"/>
    </xf>
    <xf numFmtId="166" fontId="3" fillId="3" borderId="0" xfId="4" applyFont="1" applyFill="1" applyAlignment="1">
      <alignment horizontal="right" vertical="center"/>
    </xf>
    <xf numFmtId="166" fontId="5" fillId="3" borderId="0" xfId="4" applyFill="1" applyAlignment="1">
      <alignment vertical="center"/>
    </xf>
    <xf numFmtId="7" fontId="0" fillId="3" borderId="14" xfId="5" applyNumberFormat="1" applyFont="1" applyFill="1" applyBorder="1" applyAlignment="1">
      <alignment horizontal="center" vertical="center"/>
    </xf>
    <xf numFmtId="7" fontId="0" fillId="3" borderId="15" xfId="5" applyNumberFormat="1" applyFont="1" applyFill="1" applyBorder="1" applyAlignment="1">
      <alignment horizontal="center" vertical="center"/>
    </xf>
    <xf numFmtId="7" fontId="0" fillId="3" borderId="16" xfId="5" applyNumberFormat="1" applyFont="1" applyFill="1" applyBorder="1" applyAlignment="1">
      <alignment horizontal="center" vertical="center"/>
    </xf>
    <xf numFmtId="7" fontId="0" fillId="3" borderId="17" xfId="5" applyNumberFormat="1" applyFont="1" applyFill="1" applyBorder="1" applyAlignment="1">
      <alignment horizontal="center" vertical="center"/>
    </xf>
    <xf numFmtId="7" fontId="0" fillId="3" borderId="20" xfId="5" applyNumberFormat="1" applyFont="1" applyFill="1" applyBorder="1" applyAlignment="1">
      <alignment horizontal="center" vertical="center"/>
    </xf>
    <xf numFmtId="7" fontId="0" fillId="3" borderId="19" xfId="5" applyNumberFormat="1" applyFont="1" applyFill="1" applyBorder="1" applyAlignment="1">
      <alignment horizontal="center" vertical="center"/>
    </xf>
    <xf numFmtId="7" fontId="0" fillId="3" borderId="21" xfId="5" applyNumberFormat="1" applyFont="1" applyFill="1" applyBorder="1" applyAlignment="1">
      <alignment horizontal="center" vertical="center"/>
    </xf>
    <xf numFmtId="166" fontId="5" fillId="3" borderId="0" xfId="4" applyFill="1" applyAlignment="1">
      <alignment horizontal="right" vertical="center"/>
    </xf>
    <xf numFmtId="7" fontId="0" fillId="3" borderId="0" xfId="5" applyNumberFormat="1" applyFont="1" applyFill="1" applyBorder="1" applyAlignment="1">
      <alignment horizontal="center" vertical="center"/>
    </xf>
    <xf numFmtId="7" fontId="0" fillId="3" borderId="18" xfId="5" applyNumberFormat="1" applyFont="1" applyFill="1" applyBorder="1" applyAlignment="1">
      <alignment horizontal="center" vertical="center"/>
    </xf>
    <xf numFmtId="166" fontId="6" fillId="3" borderId="0" xfId="4" applyFont="1" applyFill="1" applyAlignment="1">
      <alignment horizontal="right" vertical="center"/>
    </xf>
    <xf numFmtId="7" fontId="6" fillId="3" borderId="19" xfId="5" applyNumberFormat="1" applyFont="1" applyFill="1" applyBorder="1" applyAlignment="1">
      <alignment horizontal="center" vertical="center"/>
    </xf>
    <xf numFmtId="7" fontId="6" fillId="3" borderId="20" xfId="5" applyNumberFormat="1" applyFont="1" applyFill="1" applyBorder="1" applyAlignment="1">
      <alignment horizontal="center" vertical="center"/>
    </xf>
    <xf numFmtId="7" fontId="6" fillId="3" borderId="21" xfId="5" applyNumberFormat="1" applyFont="1" applyFill="1" applyBorder="1" applyAlignment="1">
      <alignment horizontal="center" vertical="center"/>
    </xf>
    <xf numFmtId="166" fontId="6" fillId="3" borderId="0" xfId="4" applyFont="1" applyFill="1" applyAlignment="1">
      <alignment vertical="center"/>
    </xf>
    <xf numFmtId="7" fontId="5" fillId="3" borderId="0" xfId="4" applyNumberFormat="1" applyFill="1" applyAlignment="1">
      <alignment vertical="center"/>
    </xf>
    <xf numFmtId="7" fontId="6" fillId="3" borderId="2" xfId="5" applyNumberFormat="1" applyFont="1" applyFill="1" applyBorder="1" applyAlignment="1">
      <alignment horizontal="center" vertical="center"/>
    </xf>
    <xf numFmtId="7" fontId="6" fillId="3" borderId="3" xfId="5" applyNumberFormat="1" applyFont="1" applyFill="1" applyBorder="1" applyAlignment="1">
      <alignment horizontal="center" vertical="center"/>
    </xf>
    <xf numFmtId="7" fontId="6" fillId="3" borderId="4" xfId="5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" fontId="0" fillId="0" borderId="0" xfId="0" applyNumberFormat="1"/>
    <xf numFmtId="0" fontId="8" fillId="0" borderId="0" xfId="0" applyFont="1"/>
    <xf numFmtId="166" fontId="0" fillId="0" borderId="0" xfId="0" applyNumberFormat="1"/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65" fontId="0" fillId="3" borderId="5" xfId="1" applyNumberFormat="1" applyFont="1" applyFill="1" applyBorder="1" applyAlignment="1">
      <alignment horizontal="center"/>
    </xf>
    <xf numFmtId="165" fontId="0" fillId="3" borderId="6" xfId="1" applyNumberFormat="1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166" fontId="3" fillId="3" borderId="0" xfId="4" applyFont="1" applyFill="1" applyAlignment="1">
      <alignment horizontal="center" vertical="center"/>
    </xf>
  </cellXfs>
  <cellStyles count="6">
    <cellStyle name="Comma" xfId="1" builtinId="3"/>
    <cellStyle name="Comma 2" xfId="5" xr:uid="{0EA37A9E-AC5F-4A95-AC5A-BA81E72D370B}"/>
    <cellStyle name="Normal" xfId="0" builtinId="0"/>
    <cellStyle name="Normal 14" xfId="3" xr:uid="{ED3259FA-F5D5-4193-AF78-F0701060A676}"/>
    <cellStyle name="Normal 2" xfId="4" xr:uid="{BAB1CC5A-D307-41EE-8AEF-F6741FED7E6A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39684RMPAtt4ApndxC5-7-2025.xlsx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42026RRMPAtt5ApndxC29-30-2025.xlsx" TargetMode="External"/><Relationship Id="rId1" Type="http://schemas.openxmlformats.org/officeDocument/2006/relationships/externalLinkPath" Target="342026RRMPAtt5ApndxC29-30-2025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39682RMPAtt2ApndxB25-7-2025%20(23IRP%20Capital).xlsx" TargetMode="External"/><Relationship Id="rId1" Type="http://schemas.openxmlformats.org/officeDocument/2006/relationships/externalLinkPath" Target="339682RMPAtt2ApndxB25-7-2025%20(23IRP%20Capital)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42027RRMPAtt6ApndxC39-30-2025.xlsx" TargetMode="External"/><Relationship Id="rId1" Type="http://schemas.openxmlformats.org/officeDocument/2006/relationships/externalLinkPath" Target="342027RRMPAtt6ApndxC39-30-2025.xlsx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39683RMPAtt3ApndxB35-7-2025%20(23IRP%20Capital).xlsx" TargetMode="External"/><Relationship Id="rId1" Type="http://schemas.openxmlformats.org/officeDocument/2006/relationships/externalLinkPath" Target="339683RMPAtt3ApndxB35-7-2025%20(23IRP%20Capital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38851RMPAtt2ApndxB23-18-2025.xlsx" TargetMode="External"/><Relationship Id="rId1" Type="http://schemas.openxmlformats.org/officeDocument/2006/relationships/externalLinkPath" Target="338851RMPAtt2ApndxB23-18-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339682RMPAtt2ApndxB25-7-202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42023RMPAtt2ApndxB29-30-2025.xlsx" TargetMode="External"/><Relationship Id="rId1" Type="http://schemas.openxmlformats.org/officeDocument/2006/relationships/externalLinkPath" Target="342023RMPAtt2ApndxB29-30-2025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42029RRMPAtt8ApndxD29-30-2025.xlsx" TargetMode="External"/><Relationship Id="rId1" Type="http://schemas.openxmlformats.org/officeDocument/2006/relationships/externalLinkPath" Target="342029RRMPAtt8ApndxD29-30-2025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38852RMPAtt3ApndxB33-18-2025.xlsx" TargetMode="External"/><Relationship Id="rId1" Type="http://schemas.openxmlformats.org/officeDocument/2006/relationships/externalLinkPath" Target="338852RMPAtt3ApndxB33-18-2025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39683RMPAtt3ApndxB35-7-2025.xlsx" TargetMode="External"/><Relationship Id="rId1" Type="http://schemas.openxmlformats.org/officeDocument/2006/relationships/externalLinkPath" Target="339683RMPAtt3ApndxB35-7-2025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42024RRMPAtt3ApndxB39-30-2025.xlsx" TargetMode="External"/><Relationship Id="rId1" Type="http://schemas.openxmlformats.org/officeDocument/2006/relationships/externalLinkPath" Target="342024RRMPAtt3ApndxB39-30-2025.xlsx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Avoided%20Cost%20-%202025\16%20-%20UTSch38_2025Q2%20IRPMar2025%20-%20Sep%202025\October%203,%202025%20RMP%20Reply%20Comments\342030RRMPAtt9ApndxD39-30-2025.xlsx" TargetMode="External"/><Relationship Id="rId1" Type="http://schemas.openxmlformats.org/officeDocument/2006/relationships/externalLinkPath" Target="342030RRMPAtt9ApndxD39-30-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Incremental"/>
      <sheetName val="Total"/>
      <sheetName val="Energy"/>
      <sheetName val="Capacity"/>
    </sheetNames>
    <sheetDataSet>
      <sheetData sheetId="0"/>
      <sheetData sheetId="1"/>
      <sheetData sheetId="2"/>
      <sheetData sheetId="3"/>
      <sheetData sheetId="4">
        <row r="15">
          <cell r="D15">
            <v>117.19486081370449</v>
          </cell>
        </row>
        <row r="16">
          <cell r="D16">
            <v>119.87152034261243</v>
          </cell>
        </row>
        <row r="17">
          <cell r="D17">
            <v>122.61241970021415</v>
          </cell>
        </row>
        <row r="18">
          <cell r="D18">
            <v>125.406852248394</v>
          </cell>
        </row>
        <row r="19">
          <cell r="D19">
            <v>128.26552462526766</v>
          </cell>
        </row>
        <row r="20">
          <cell r="D20">
            <v>131.19914346895078</v>
          </cell>
        </row>
        <row r="21">
          <cell r="D21">
            <v>134.19700214132763</v>
          </cell>
        </row>
        <row r="22">
          <cell r="D22">
            <v>137.25910064239827</v>
          </cell>
        </row>
        <row r="23">
          <cell r="D23">
            <v>140.38543897216275</v>
          </cell>
        </row>
        <row r="24">
          <cell r="D24">
            <v>143.58672376873665</v>
          </cell>
        </row>
        <row r="25">
          <cell r="D25">
            <v>146.85224839400428</v>
          </cell>
        </row>
        <row r="26">
          <cell r="D26">
            <v>150.20342612419699</v>
          </cell>
        </row>
        <row r="27">
          <cell r="D27">
            <v>153.62955032119916</v>
          </cell>
        </row>
        <row r="28">
          <cell r="D28">
            <v>137.25910064239827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Incremental"/>
      <sheetName val="Total"/>
      <sheetName val="Energy"/>
      <sheetName val="Capacity"/>
    </sheetNames>
    <sheetDataSet>
      <sheetData sheetId="0">
        <row r="2">
          <cell r="C2" t="str">
            <v>Indicative Solar QF Avoided Cost, $/MWh</v>
          </cell>
        </row>
        <row r="3">
          <cell r="B3" t="str">
            <v>Proposed Term:</v>
          </cell>
          <cell r="C3" t="str">
            <v>2025 - 2039</v>
          </cell>
          <cell r="E3" t="str">
            <v>2026 - 2040</v>
          </cell>
          <cell r="G3" t="str">
            <v>2027 - 2041</v>
          </cell>
        </row>
        <row r="4">
          <cell r="B4" t="str">
            <v>2025.Q1 As Filed</v>
          </cell>
          <cell r="C4">
            <v>23.65</v>
          </cell>
          <cell r="E4">
            <v>23.44</v>
          </cell>
          <cell r="G4">
            <v>23.68</v>
          </cell>
        </row>
        <row r="5">
          <cell r="A5" t="str">
            <v>Routine update</v>
          </cell>
          <cell r="B5" t="str">
            <v>OFPC June 2025</v>
          </cell>
          <cell r="C5">
            <v>23.98</v>
          </cell>
          <cell r="D5" t="str">
            <v>+$0.33</v>
          </cell>
          <cell r="E5">
            <v>23.86</v>
          </cell>
          <cell r="F5" t="str">
            <v>+$0.42</v>
          </cell>
          <cell r="G5">
            <v>23.92</v>
          </cell>
          <cell r="H5" t="str">
            <v>+$0.24</v>
          </cell>
        </row>
        <row r="6">
          <cell r="A6" t="str">
            <v>Routine update</v>
          </cell>
          <cell r="B6" t="str">
            <v>Corrected Escalation</v>
          </cell>
          <cell r="C6">
            <v>25.43</v>
          </cell>
          <cell r="D6" t="str">
            <v>+$1.45</v>
          </cell>
          <cell r="E6">
            <v>25.57</v>
          </cell>
          <cell r="F6" t="str">
            <v>+$1.71</v>
          </cell>
          <cell r="G6">
            <v>25.91</v>
          </cell>
          <cell r="H6" t="str">
            <v>+$1.99</v>
          </cell>
        </row>
        <row r="7">
          <cell r="A7" t="str">
            <v>Non-routine update</v>
          </cell>
          <cell r="B7" t="str">
            <v xml:space="preserve">Final 2025 IRP </v>
          </cell>
          <cell r="C7">
            <v>5.94</v>
          </cell>
          <cell r="D7" t="str">
            <v>-$19.49</v>
          </cell>
          <cell r="E7">
            <v>3.58</v>
          </cell>
          <cell r="F7" t="str">
            <v>-$21.99</v>
          </cell>
          <cell r="G7">
            <v>3.72</v>
          </cell>
          <cell r="H7" t="str">
            <v>-$22.19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2"/>
      <sheetName val="Table 1"/>
      <sheetName val="Table 2"/>
      <sheetName val="Table 4"/>
      <sheetName val="Table 5"/>
      <sheetName val="Table3Compare"/>
      <sheetName val="BAT.PX.UTS._.ITC.Li_4hr.2027"/>
      <sheetName val="BAT.PX.WSF.ITC.IronAir100hr2030"/>
      <sheetName val="GSC.PX.BDG._.___.Frame 2030"/>
      <sheetName val="WD_.PX.DJW._.PTC.2028"/>
      <sheetName val="WD_.PX.DJW._.PTC.2029"/>
      <sheetName val="2025 IRP Assumptions"/>
      <sheetName val="PV_.PX.WMV._.PTC.2032"/>
      <sheetName val="Table 3 TransCost"/>
      <sheetName val="WD_.PX.WMV._.PTC.2032"/>
      <sheetName val="PV_.PX.WMV._.PTC.2036"/>
      <sheetName val="PV_.PX.YAK._.PTC.2032"/>
    </sheetNames>
    <sheetDataSet>
      <sheetData sheetId="0"/>
      <sheetData sheetId="1">
        <row r="50">
          <cell r="G50">
            <v>33.575878121554531</v>
          </cell>
        </row>
        <row r="55">
          <cell r="G55">
            <v>35.186734783431561</v>
          </cell>
        </row>
        <row r="60">
          <cell r="G60">
            <v>37.407933228092446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Incremental"/>
      <sheetName val="Total"/>
      <sheetName val="Energy"/>
      <sheetName val="Capacity"/>
    </sheetNames>
    <sheetDataSet>
      <sheetData sheetId="0">
        <row r="2">
          <cell r="C2" t="str">
            <v>Indicative Wind QF Avoided Cost, $/MWh</v>
          </cell>
        </row>
        <row r="3">
          <cell r="B3" t="str">
            <v>Proposed Term:</v>
          </cell>
          <cell r="C3" t="str">
            <v>2025 - 2039</v>
          </cell>
          <cell r="E3" t="str">
            <v>2026 - 2040</v>
          </cell>
          <cell r="G3" t="str">
            <v>2027 - 2041</v>
          </cell>
        </row>
        <row r="4">
          <cell r="B4" t="str">
            <v>2025.Q1 As Filed</v>
          </cell>
          <cell r="C4">
            <v>16.21</v>
          </cell>
          <cell r="E4">
            <v>17.27</v>
          </cell>
          <cell r="G4">
            <v>18.5</v>
          </cell>
        </row>
        <row r="5">
          <cell r="A5" t="str">
            <v>Routine update</v>
          </cell>
          <cell r="B5" t="str">
            <v>OFPC June 2025</v>
          </cell>
          <cell r="C5">
            <v>16.66</v>
          </cell>
          <cell r="D5" t="str">
            <v>+$0.45</v>
          </cell>
          <cell r="E5">
            <v>17.809999999999999</v>
          </cell>
          <cell r="F5" t="str">
            <v>+$0.54</v>
          </cell>
          <cell r="G5">
            <v>18.82</v>
          </cell>
          <cell r="H5" t="str">
            <v>+$0.32</v>
          </cell>
        </row>
        <row r="6">
          <cell r="A6" t="str">
            <v>Routine update</v>
          </cell>
          <cell r="B6" t="str">
            <v>Corrected Escalation</v>
          </cell>
          <cell r="C6">
            <v>15.85</v>
          </cell>
          <cell r="D6" t="str">
            <v>-$0.81</v>
          </cell>
          <cell r="E6">
            <v>16.899999999999999</v>
          </cell>
          <cell r="F6" t="str">
            <v>-$0.91</v>
          </cell>
          <cell r="G6">
            <v>17.8</v>
          </cell>
          <cell r="H6" t="str">
            <v>-$1.02</v>
          </cell>
        </row>
        <row r="7">
          <cell r="A7" t="str">
            <v>Non-routine update</v>
          </cell>
          <cell r="B7" t="str">
            <v xml:space="preserve">Final 2025 IRP </v>
          </cell>
          <cell r="C7">
            <v>5.4</v>
          </cell>
          <cell r="D7" t="str">
            <v>-$10.45</v>
          </cell>
          <cell r="E7">
            <v>5.44</v>
          </cell>
          <cell r="F7" t="str">
            <v>-$11.46</v>
          </cell>
          <cell r="G7">
            <v>5.0999999999999996</v>
          </cell>
          <cell r="H7" t="str">
            <v>-$12.70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3"/>
      <sheetName val="Table 1"/>
      <sheetName val="Table 2"/>
      <sheetName val="Table 4"/>
      <sheetName val="Table 5"/>
      <sheetName val="Table3Compare"/>
      <sheetName val="BAT.PX.UTS._.ITC.Li_4hr.2027"/>
      <sheetName val="BAT.PX.WSF.ITC.IronAir100hr2030"/>
      <sheetName val="GSC.PX.BDG._.___.Frame 2030"/>
      <sheetName val="WD_.PX.DJW._.PTC.2028"/>
      <sheetName val="WD_.PX.DJW._.PTC.2029"/>
      <sheetName val="2025 IRP Assumptions"/>
      <sheetName val="PV_.PX.WMV._.PTC.2032"/>
      <sheetName val="Table 3 TransCost"/>
      <sheetName val="WD_.PX.WMV._.PTC.2032"/>
      <sheetName val="PV_.PX.WMV._.PTC.2036"/>
      <sheetName val="PV_.PX.YAK._.PTC.2032"/>
    </sheetNames>
    <sheetDataSet>
      <sheetData sheetId="0" refreshError="1"/>
      <sheetData sheetId="1">
        <row r="50">
          <cell r="G50">
            <v>25.947235320689508</v>
          </cell>
        </row>
        <row r="55">
          <cell r="G55">
            <v>28.286251361553582</v>
          </cell>
        </row>
        <row r="60">
          <cell r="G60">
            <v>30.891574297429138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2"/>
      <sheetName val="Table 1"/>
      <sheetName val="Table 2"/>
      <sheetName val="Table 4"/>
      <sheetName val="Table 5"/>
      <sheetName val="Table3Compare"/>
      <sheetName val="Table 3 TransCost"/>
      <sheetName val="LFC"/>
      <sheetName val="IRP_LTReport"/>
      <sheetName val="Inflation"/>
      <sheetName val="IRP_PTC_ESC"/>
      <sheetName val="WD_.PX.WYE._.SER.WD.2027"/>
      <sheetName val="WD_.PX.UWY._.SER.WD.2027"/>
      <sheetName val="WD_.PX.BOR._.PTC.WD 2030"/>
      <sheetName val="WD_.PX.GOE._.PTC.WD 2030"/>
      <sheetName val="WD_.PX.YAK._.PTC.WD 2030"/>
      <sheetName val="WD_.PX.COR._.PTC.WD 2031"/>
      <sheetName val="WD_.PX.BDG._.PTC.Bridger.WD2032"/>
      <sheetName val="WD_.PX.BOR._.PTC.WD 2032"/>
      <sheetName val="WD_.PX.GOE._.PTC.WD 2032"/>
      <sheetName val="WD_.PX.WYE._.PTC.Djohns.WD 2032"/>
      <sheetName val="WD_.PX.COR._.PTC.WD 2032"/>
      <sheetName val="WD_.PX.WWA._.PTC.WD 2032"/>
      <sheetName val="WD_.PX.WYE._.PTC.WD_SML 2032"/>
      <sheetName val="WD_.PX.SOR._.PTC.WD 2033"/>
      <sheetName val="PV_.PX.UTN._.2C8.PV.2027"/>
      <sheetName val="PV_.PX.COR.S.TC8.PV.2027"/>
      <sheetName val="PV_.PX.COR._.SER.PV.2027"/>
      <sheetName val="PV_.PX.CLV.1.A05.PV.2028"/>
      <sheetName val="PV_.PX.UTN._.PTC.PV_SML"/>
      <sheetName val="PV_.PX.UTS._.PTC.Hunter.PV"/>
      <sheetName val="PV_.PX.UTS._.PTC.Huntington.PV"/>
      <sheetName val="PVS.PX.UTS._.SER.PV.2027"/>
      <sheetName val="PVS.PX.UTS._.SER.BAT.2027"/>
      <sheetName val="PVS.PX.BOR._.2C5.PV.2027"/>
      <sheetName val="PVS.PX.BOR._.2C5.BAT.2027"/>
      <sheetName val="PVS.PX.COR._.SER.PV.2027"/>
      <sheetName val="PVS.PX.COR._.SER.BAT.2027"/>
      <sheetName val="PVS.PX.SOR._.SER.PV.2027"/>
      <sheetName val="PVS.PX.SOR._.SER.BAT.2027"/>
      <sheetName val="PVS.PX.WMV._.223.PV.2027"/>
      <sheetName val="PVS.PX.WMV._.223.BAT.2027"/>
      <sheetName val="PVS.PX.YAK._.110.PV.2027"/>
      <sheetName val="PVS.PX.YAK._.110.BAT.2027"/>
      <sheetName val="PVS.PX.CLV.1.A07.PV.2028"/>
      <sheetName val="PVS.PX.CLV.1.A07.BAT.2028"/>
      <sheetName val="PVS.PX.CLV.1.A05.PV.2028"/>
      <sheetName val="PVS.PX.CLV.1.A05.BAT.2028"/>
      <sheetName val="PVS.PX.WMV._.223.PV.2028"/>
      <sheetName val="PVS.PX.WMV._.223.BAT.2028"/>
      <sheetName val="PVS.PX.WWA._.215.PV.2028"/>
      <sheetName val="PVS.PX.WWA._.215.BAT.2028"/>
      <sheetName val="BAT.PX.WWA._.ITC.Lithium-ion"/>
      <sheetName val="BAT.PX.COR._.ITC.Lithium-ion"/>
      <sheetName val="SCCT 395MW (UTN) 2029"/>
      <sheetName val="#REF"/>
    </sheetNames>
    <sheetDataSet>
      <sheetData sheetId="0"/>
      <sheetData sheetId="1">
        <row r="15">
          <cell r="BG15">
            <v>16.108407369449999</v>
          </cell>
          <cell r="BH15">
            <v>38.330000285499999</v>
          </cell>
          <cell r="BI15">
            <v>5.6391684854999999</v>
          </cell>
        </row>
        <row r="50">
          <cell r="G50">
            <v>32.831587488631563</v>
          </cell>
        </row>
        <row r="55">
          <cell r="G55">
            <v>35.560984867537023</v>
          </cell>
        </row>
        <row r="60">
          <cell r="G60">
            <v>38.423433594741887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15">
          <cell r="C15">
            <v>1541.093410736479</v>
          </cell>
        </row>
      </sheetData>
      <sheetData sheetId="26">
        <row r="15">
          <cell r="C15">
            <v>2061.1023395489979</v>
          </cell>
        </row>
      </sheetData>
      <sheetData sheetId="27">
        <row r="15">
          <cell r="C15">
            <v>1667.8986187397102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endix B.2"/>
      <sheetName val="Table 1"/>
      <sheetName val="Table 2"/>
      <sheetName val="Table 4"/>
      <sheetName val="Table 5"/>
      <sheetName val="Table3Compare"/>
      <sheetName val="BAT.PX.UTS._.ITC.Li_4hr.2027"/>
      <sheetName val="BAT.PX.WSF.ITC.IronAir100hr2030"/>
      <sheetName val="GSC.PX.BDG._.___.Frame 2030"/>
      <sheetName val="WD_.PX.DJW._.PTC.2028"/>
      <sheetName val="WD_.PX.DJW._.PTC.2029"/>
      <sheetName val="2025 IRP Assumptions"/>
      <sheetName val="PV_.PX.WMV._.PTC.2032"/>
      <sheetName val="Table 3 TransCost"/>
      <sheetName val="WD_.PX.WMV._.PTC.2032"/>
      <sheetName val="PV_.PX.WMV._.PTC.2036"/>
      <sheetName val="PV_.PX.YAK._.PTC.203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C13">
            <v>1188.3203249999999</v>
          </cell>
        </row>
        <row r="17">
          <cell r="C17">
            <v>1022.8710599999999</v>
          </cell>
        </row>
        <row r="18">
          <cell r="C18">
            <v>1028.5450799999999</v>
          </cell>
        </row>
      </sheetData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2"/>
      <sheetName val="Table 1"/>
      <sheetName val="Table 2"/>
      <sheetName val="Table 4"/>
      <sheetName val="Table 5"/>
      <sheetName val="Table3Compare"/>
      <sheetName val="BAT.PX.UTS._.ITC.Li_4hr.2027"/>
      <sheetName val="BAT.PX.WSF.ITC.IronAir100hr2030"/>
      <sheetName val="GSC.PX.BDG._.___.Frame 2030"/>
      <sheetName val="WD_.PX.DJW._.PTC.2028"/>
      <sheetName val="WD_.PX.DJW._.PTC.2029"/>
      <sheetName val="2025 IRP Assumptions"/>
      <sheetName val="PV_.PX.WMV._.PTC.2032"/>
      <sheetName val="Table 3 TransCost"/>
      <sheetName val="WD_.PX.WMV._.PTC.2032"/>
      <sheetName val="PV_.PX.WMV._.PTC.2036"/>
      <sheetName val="PV_.PX.YAK._.PTC.203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3">
          <cell r="C13">
            <v>1319.3661420506999</v>
          </cell>
        </row>
        <row r="17">
          <cell r="C17">
            <v>1188.2580577886999</v>
          </cell>
        </row>
        <row r="18">
          <cell r="C18">
            <v>1150.3062569788499</v>
          </cell>
        </row>
      </sheetData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D.2"/>
      <sheetName val="Table 1"/>
      <sheetName val="Table 2"/>
      <sheetName val="Table 4"/>
      <sheetName val="Table 5"/>
      <sheetName val="Table3Compare"/>
      <sheetName val="2025 IRP Assumptions"/>
      <sheetName val="WD_.PX.BDG._.PTC.2029"/>
      <sheetName val="WD_.PX.BDG._.PTC.2030"/>
      <sheetName val="WD_.PX.BDG._.PTC.2031"/>
      <sheetName val="WD_.PX.DJW._.PTC.2029"/>
      <sheetName val="WD_.PX.DJW._.PTC.2030"/>
      <sheetName val="WD_.PX.DJW._.PTC.2031"/>
      <sheetName val="Table 3 PV_.PX.NTN._.PTC.2031"/>
      <sheetName val="PV_.PX.BDG._.PTC.2031"/>
      <sheetName val="PV_.PX.HTG._.PTC.2031"/>
      <sheetName val="PV_.PX.UTS._.PTC.2031"/>
      <sheetName val="GSC.PX.BDG._.___.Frame 20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3">
          <cell r="C13">
            <v>1216.55</v>
          </cell>
        </row>
        <row r="16">
          <cell r="C16">
            <v>1120.9920826667001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3"/>
      <sheetName val="Table 1"/>
      <sheetName val="Table 2"/>
      <sheetName val="Table 4"/>
      <sheetName val="Table 5"/>
      <sheetName val="Table3Compare"/>
      <sheetName val="Table 3 TransCost"/>
      <sheetName val="LFC"/>
      <sheetName val="IRP_LTReport"/>
      <sheetName val="Inflation"/>
      <sheetName val="IRP_PTC_ESC"/>
      <sheetName val="WD_.PX.WYE._.SER.WD.2027"/>
      <sheetName val="WD_.PX.UWY._.SER.WD.2027"/>
      <sheetName val="WD_.PX.BOR._.PTC.WD 2030"/>
      <sheetName val="WD_.PX.GOE._.PTC.WD 2030"/>
      <sheetName val="WD_.PX.YAK._.PTC.WD 2030"/>
      <sheetName val="WD_.PX.COR._.PTC.WD 2031"/>
      <sheetName val="WD_.PX.BDG._.PTC.Bridger.WD2032"/>
      <sheetName val="WD_.PX.BOR._.PTC.WD 2032"/>
      <sheetName val="WD_.PX.GOE._.PTC.WD 2032"/>
      <sheetName val="WD_.PX.WYE._.PTC.Djohns.WD 2032"/>
      <sheetName val="WD_.PX.COR._.PTC.WD 2032"/>
      <sheetName val="WD_.PX.WWA._.PTC.WD 2032"/>
      <sheetName val="WD_.PX.WYE._.PTC.WD_SML 2032"/>
      <sheetName val="WD_.PX.SOR._.PTC.WD 2033"/>
      <sheetName val="PV_.PX.UTN._.2C8.PV.2027"/>
      <sheetName val="PV_.PX.COR.S.TC8.PV.2027"/>
      <sheetName val="PV_.PX.COR._.SER.PV.2027"/>
      <sheetName val="PV_.PX.CLV.1.A05.PV.2028"/>
      <sheetName val="PV_.PX.UTN._.PTC.PV_SML"/>
      <sheetName val="PV_.PX.UTS._.PTC.Hunter.PV"/>
      <sheetName val="PV_.PX.UTS._.PTC.Huntington.PV"/>
      <sheetName val="PVS.PX.UTS._.SER.PV.2027"/>
      <sheetName val="PVS.PX.UTS._.SER.BAT.2027"/>
      <sheetName val="PVS.PX.BOR._.2C5.PV.2027"/>
      <sheetName val="PVS.PX.BOR._.2C5.BAT.2027"/>
      <sheetName val="PVS.PX.COR._.SER.PV.2027"/>
      <sheetName val="PVS.PX.COR._.SER.BAT.2027"/>
      <sheetName val="PVS.PX.SOR._.SER.PV.2027"/>
      <sheetName val="PVS.PX.SOR._.SER.BAT.2027"/>
      <sheetName val="PVS.PX.WMV._.223.PV.2027"/>
      <sheetName val="PVS.PX.WMV._.223.BAT.2027"/>
      <sheetName val="PVS.PX.YAK._.110.PV.2027"/>
      <sheetName val="PVS.PX.YAK._.110.BAT.2027"/>
      <sheetName val="PVS.PX.CLV.1.A07.PV.2028"/>
      <sheetName val="PVS.PX.CLV.1.A07.BAT.2028"/>
      <sheetName val="PVS.PX.CLV.1.A05.PV.2028"/>
      <sheetName val="PVS.PX.CLV.1.A05.BAT.2028"/>
      <sheetName val="PVS.PX.WMV._.223.PV.2028"/>
      <sheetName val="PVS.PX.WMV._.223.BAT.2028"/>
      <sheetName val="PVS.PX.WWA._.215.PV.2028"/>
      <sheetName val="PVS.PX.WWA._.215.BAT.2028"/>
      <sheetName val="BAT.PX.WWA._.ITC.Lithium-ion"/>
      <sheetName val="BAT.PX.COR._.ITC.Lithium-ion"/>
      <sheetName val="SCCT 395MW (UTN) 2029"/>
    </sheetNames>
    <sheetDataSet>
      <sheetData sheetId="0"/>
      <sheetData sheetId="1">
        <row r="15">
          <cell r="AX15">
            <v>38.902089841999995</v>
          </cell>
          <cell r="AY15">
            <v>10.507516299899907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5">
          <cell r="C15">
            <v>2119.0589086363157</v>
          </cell>
        </row>
      </sheetData>
      <sheetData sheetId="12">
        <row r="15">
          <cell r="C15">
            <v>2197.737304397815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3"/>
      <sheetName val="Table 1"/>
      <sheetName val="Table 2"/>
      <sheetName val="Table 4"/>
      <sheetName val="Table 5"/>
      <sheetName val="Table3Compare"/>
      <sheetName val="BAT.PX.UTS._.ITC.Li_4hr.2027"/>
      <sheetName val="BAT.PX.WSF.ITC.IronAir100hr2030"/>
      <sheetName val="GSC.PX.BDG._.___.Frame 2030"/>
      <sheetName val="WD_.PX.DJW._.PTC.2028"/>
      <sheetName val="WD_.PX.DJW._.PTC.2029"/>
      <sheetName val="2025 IRP Assumptions"/>
      <sheetName val="PV_.PX.WMV._.PTC.2032"/>
      <sheetName val="Table 3 TransCost"/>
      <sheetName val="WD_.PX.WMV._.PTC.2032"/>
      <sheetName val="PV_.PX.WMV._.PTC.2036"/>
      <sheetName val="PV_.PX.YAK._.PTC.203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3">
          <cell r="C13">
            <v>1439.3347800000001</v>
          </cell>
        </row>
        <row r="14">
          <cell r="C14">
            <v>1454.9327960000001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B.3"/>
      <sheetName val="Table 1"/>
      <sheetName val="Table 2"/>
      <sheetName val="Table 4"/>
      <sheetName val="Table 5"/>
      <sheetName val="Table3Compare"/>
      <sheetName val="BAT.PX.UTS._.ITC.Li_4hr.2027"/>
      <sheetName val="BAT.PX.WSF.ITC.IronAir100hr2030"/>
      <sheetName val="GSC.PX.BDG._.___.Frame 2030"/>
      <sheetName val="WD_.PX.DJW._.PTC.2028"/>
      <sheetName val="WD_.PX.DJW._.PTC.2029"/>
      <sheetName val="2025 IRP Assumptions"/>
      <sheetName val="PV_.PX.WMV._.PTC.2032"/>
      <sheetName val="Table 3 TransCost"/>
      <sheetName val="WD_.PX.WMV._.PTC.2032"/>
      <sheetName val="PV_.PX.WMV._.PTC.2036"/>
      <sheetName val="PV_.PX.YAK._.PTC.203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3">
          <cell r="C13">
            <v>1395.0771713402</v>
          </cell>
        </row>
        <row r="14">
          <cell r="C14">
            <v>1394.9560833849202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ppendix D.3"/>
      <sheetName val="Table 1"/>
      <sheetName val="Table 2"/>
      <sheetName val="Table 4"/>
      <sheetName val="Table 5"/>
      <sheetName val="Table3Compare"/>
      <sheetName val="2025 IRP Assumptions"/>
      <sheetName val="WD_.PX.BDG._.PTC.2029"/>
      <sheetName val="WD_.PX.BDG._.PTC.2030"/>
      <sheetName val="WD_.PX.BDG._.PTC.2031"/>
      <sheetName val="WD_.PX.NUT._.PTC.2029"/>
      <sheetName val="Table 3 WD_.PX.DJW._.PTC.2029"/>
      <sheetName val="WD_.PX.DJW._.PTC.2030"/>
      <sheetName val="WD_.PX.DJW._.PTC.2031"/>
      <sheetName val="PV_.PX.BDG._.PTC.2031"/>
      <sheetName val="PV_.PX.HTG._.PTC.2031"/>
      <sheetName val="PV_.PX.NTN._.PTC.2031"/>
      <sheetName val="PV_.PX.UTS._.PTC.2031"/>
      <sheetName val="GSC.PX.BDG._.___.Frame 20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2">
          <cell r="C12">
            <v>1395.0771713402</v>
          </cell>
        </row>
        <row r="13">
          <cell r="C13">
            <v>1394.9560833849202</v>
          </cell>
        </row>
        <row r="14">
          <cell r="C14">
            <v>1394.16671932432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F0BDA-54BE-49F9-AD06-A62F7CDC09DF}">
  <dimension ref="A1:J20"/>
  <sheetViews>
    <sheetView tabSelected="1" workbookViewId="0">
      <selection activeCell="B2" sqref="B2"/>
    </sheetView>
  </sheetViews>
  <sheetFormatPr defaultRowHeight="15" x14ac:dyDescent="0.25"/>
  <cols>
    <col min="2" max="2" width="12.28515625" customWidth="1"/>
    <col min="3" max="3" width="9.5703125" bestFit="1" customWidth="1"/>
    <col min="4" max="4" width="11.85546875" customWidth="1"/>
    <col min="5" max="5" width="12.42578125" customWidth="1"/>
    <col min="6" max="6" width="15.140625" bestFit="1" customWidth="1"/>
    <col min="7" max="7" width="12.85546875" bestFit="1" customWidth="1"/>
    <col min="8" max="8" width="12.85546875" customWidth="1"/>
    <col min="9" max="9" width="13.28515625" bestFit="1" customWidth="1"/>
    <col min="14" max="14" width="22.42578125" bestFit="1" customWidth="1"/>
    <col min="15" max="15" width="11.85546875" bestFit="1" customWidth="1"/>
    <col min="16" max="16" width="11.85546875" customWidth="1"/>
    <col min="17" max="17" width="17.42578125" bestFit="1" customWidth="1"/>
    <col min="18" max="18" width="17.42578125" customWidth="1"/>
    <col min="19" max="19" width="12.85546875" bestFit="1" customWidth="1"/>
    <col min="20" max="20" width="12.85546875" customWidth="1"/>
    <col min="21" max="21" width="13.28515625" bestFit="1" customWidth="1"/>
  </cols>
  <sheetData>
    <row r="1" spans="1:10" x14ac:dyDescent="0.25">
      <c r="B1" s="5" t="s">
        <v>45</v>
      </c>
    </row>
    <row r="2" spans="1:10" x14ac:dyDescent="0.25">
      <c r="A2" s="12"/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12"/>
      <c r="B3" s="11" t="s">
        <v>33</v>
      </c>
      <c r="C3" s="12"/>
      <c r="D3" s="12"/>
      <c r="E3" s="12"/>
      <c r="F3" s="13" t="s">
        <v>27</v>
      </c>
      <c r="G3" s="13" t="s">
        <v>22</v>
      </c>
      <c r="H3" s="13" t="s">
        <v>23</v>
      </c>
      <c r="I3" s="13" t="s">
        <v>24</v>
      </c>
      <c r="J3" s="12"/>
    </row>
    <row r="4" spans="1:10" x14ac:dyDescent="0.25">
      <c r="A4" s="12"/>
      <c r="B4" s="12"/>
      <c r="C4" s="65" t="s">
        <v>7</v>
      </c>
      <c r="D4" s="67"/>
      <c r="E4" s="66"/>
      <c r="F4" s="14" t="s">
        <v>7</v>
      </c>
      <c r="G4" s="23" t="s">
        <v>8</v>
      </c>
      <c r="H4" s="23" t="s">
        <v>8</v>
      </c>
      <c r="I4" s="23" t="s">
        <v>9</v>
      </c>
      <c r="J4" s="12"/>
    </row>
    <row r="5" spans="1:10" ht="30.75" thickBot="1" x14ac:dyDescent="0.3">
      <c r="A5" s="12"/>
      <c r="B5" s="29" t="s">
        <v>31</v>
      </c>
      <c r="C5" s="13" t="s">
        <v>18</v>
      </c>
      <c r="D5" s="30" t="s">
        <v>32</v>
      </c>
      <c r="E5" s="13" t="s">
        <v>19</v>
      </c>
      <c r="F5" s="13" t="s">
        <v>25</v>
      </c>
      <c r="G5" s="13" t="s">
        <v>19</v>
      </c>
      <c r="H5" s="13" t="s">
        <v>19</v>
      </c>
      <c r="I5" s="13" t="s">
        <v>28</v>
      </c>
      <c r="J5" s="12"/>
    </row>
    <row r="6" spans="1:10" x14ac:dyDescent="0.25">
      <c r="A6" s="12"/>
      <c r="B6" s="12">
        <v>2027</v>
      </c>
      <c r="C6" s="15">
        <f>'[2]PV_.PX.UTN._.2C8.PV.2027'!$C$15</f>
        <v>1541.093410736479</v>
      </c>
      <c r="D6" s="16">
        <f>'[2]PV_.PX.COR.S.TC8.PV.2027'!$C$15</f>
        <v>2061.1023395489979</v>
      </c>
      <c r="E6" s="16">
        <f>'[2]PV_.PX.COR._.SER.PV.2027'!$C$15</f>
        <v>1667.8986187397102</v>
      </c>
      <c r="F6" s="16">
        <f>(C6*'[2]Table 1'!$BG$15+D6*'[2]Table 1'!$BH$15+E6*'[2]Table 1'!$BI$15)/SUM('[2]Table 1'!$BG$15:$BI$15)</f>
        <v>1884.7660361823969</v>
      </c>
      <c r="G6" s="7">
        <f>'[3]PV_.PX.WMV._.PTC.2032'!$C$13</f>
        <v>1188.3203249999999</v>
      </c>
      <c r="H6" s="7">
        <f>'[4]PV_.PX.WMV._.PTC.2032'!C13</f>
        <v>1319.3661420506999</v>
      </c>
      <c r="I6" s="8">
        <f>'[5]Table 3 PV_.PX.NTN._.PTC.2031'!$C$13</f>
        <v>1216.55</v>
      </c>
      <c r="J6" s="12"/>
    </row>
    <row r="7" spans="1:10" ht="9.75" customHeight="1" x14ac:dyDescent="0.25">
      <c r="A7" s="12"/>
      <c r="B7" s="31" t="s">
        <v>35</v>
      </c>
      <c r="C7" s="17"/>
      <c r="D7" s="18"/>
      <c r="E7" s="18"/>
      <c r="F7" s="18"/>
      <c r="G7" s="9" t="s">
        <v>35</v>
      </c>
      <c r="H7" s="9" t="s">
        <v>35</v>
      </c>
      <c r="I7" s="10" t="s">
        <v>35</v>
      </c>
      <c r="J7" s="12"/>
    </row>
    <row r="8" spans="1:10" x14ac:dyDescent="0.25">
      <c r="A8" s="12"/>
      <c r="B8" s="12">
        <v>2031</v>
      </c>
      <c r="C8" s="17"/>
      <c r="D8" s="18"/>
      <c r="E8" s="18"/>
      <c r="F8" s="18"/>
      <c r="G8" s="9">
        <f>'[3]PV_.PX.WMV._.PTC.2032'!C17</f>
        <v>1022.8710599999999</v>
      </c>
      <c r="H8" s="9">
        <f>'[4]PV_.PX.WMV._.PTC.2032'!C17</f>
        <v>1188.2580577886999</v>
      </c>
      <c r="I8" s="28">
        <f>'[5]Table 3 PV_.PX.NTN._.PTC.2031'!$C$16</f>
        <v>1120.9920826667001</v>
      </c>
      <c r="J8" s="12"/>
    </row>
    <row r="9" spans="1:10" ht="15.75" thickBot="1" x14ac:dyDescent="0.3">
      <c r="A9" s="12"/>
      <c r="B9" s="12">
        <v>2032</v>
      </c>
      <c r="C9" s="19"/>
      <c r="D9" s="20"/>
      <c r="E9" s="20"/>
      <c r="F9" s="20"/>
      <c r="G9" s="26">
        <f>'[3]PV_.PX.WMV._.PTC.2032'!C18</f>
        <v>1028.5450799999999</v>
      </c>
      <c r="H9" s="26">
        <f>'[4]PV_.PX.WMV._.PTC.2032'!C18</f>
        <v>1150.3062569788499</v>
      </c>
      <c r="I9" s="27"/>
      <c r="J9" s="12"/>
    </row>
    <row r="10" spans="1:10" x14ac:dyDescent="0.25">
      <c r="A10" s="12"/>
      <c r="B10" s="21" t="s">
        <v>29</v>
      </c>
      <c r="C10" s="12"/>
      <c r="D10" s="12"/>
      <c r="E10" s="12"/>
      <c r="F10" s="12"/>
      <c r="G10" s="25">
        <f>(G6-$F6)/$F6</f>
        <v>-0.36951308428342189</v>
      </c>
      <c r="H10" s="25">
        <f>(H6-$F6)/$F6</f>
        <v>-0.29998412708927913</v>
      </c>
      <c r="I10" s="25">
        <f>(I6-$F6)/$F6</f>
        <v>-0.35453527034892451</v>
      </c>
      <c r="J10" s="12"/>
    </row>
    <row r="11" spans="1:10" ht="3.75" customHeight="1" x14ac:dyDescent="0.25">
      <c r="A11" s="12"/>
      <c r="B11" s="12"/>
      <c r="C11" s="12"/>
      <c r="D11" s="12"/>
      <c r="E11" s="12"/>
      <c r="F11" s="12"/>
      <c r="G11" s="13"/>
      <c r="H11" s="13"/>
      <c r="I11" s="13"/>
      <c r="J11" s="12"/>
    </row>
    <row r="12" spans="1:10" x14ac:dyDescent="0.25">
      <c r="A12" s="12"/>
      <c r="B12" s="11" t="s">
        <v>34</v>
      </c>
      <c r="C12" s="12"/>
      <c r="D12" s="12"/>
      <c r="E12" s="12"/>
      <c r="F12" s="13" t="s">
        <v>27</v>
      </c>
      <c r="G12" s="13" t="s">
        <v>22</v>
      </c>
      <c r="H12" s="13" t="s">
        <v>23</v>
      </c>
      <c r="I12" s="13" t="s">
        <v>24</v>
      </c>
      <c r="J12" s="12"/>
    </row>
    <row r="13" spans="1:10" x14ac:dyDescent="0.25">
      <c r="A13" s="12"/>
      <c r="B13" s="12"/>
      <c r="C13" s="65" t="s">
        <v>7</v>
      </c>
      <c r="D13" s="67"/>
      <c r="E13" s="66"/>
      <c r="F13" s="14" t="s">
        <v>7</v>
      </c>
      <c r="G13" s="23" t="s">
        <v>8</v>
      </c>
      <c r="H13" s="23" t="s">
        <v>8</v>
      </c>
      <c r="I13" s="23" t="s">
        <v>9</v>
      </c>
      <c r="J13" s="12"/>
    </row>
    <row r="14" spans="1:10" ht="30.75" thickBot="1" x14ac:dyDescent="0.3">
      <c r="A14" s="12"/>
      <c r="B14" s="29" t="s">
        <v>31</v>
      </c>
      <c r="C14" s="68" t="s">
        <v>20</v>
      </c>
      <c r="D14" s="68"/>
      <c r="E14" s="13" t="s">
        <v>21</v>
      </c>
      <c r="F14" s="13" t="s">
        <v>26</v>
      </c>
      <c r="G14" s="13" t="s">
        <v>21</v>
      </c>
      <c r="H14" s="13" t="s">
        <v>21</v>
      </c>
      <c r="I14" s="13" t="s">
        <v>21</v>
      </c>
      <c r="J14" s="12"/>
    </row>
    <row r="15" spans="1:10" x14ac:dyDescent="0.25">
      <c r="A15" s="12"/>
      <c r="B15" s="12">
        <v>2027</v>
      </c>
      <c r="C15" s="69">
        <f>'[6]WD_.PX.UWY._.SER.WD.2027'!$C$15</f>
        <v>2197.737304397815</v>
      </c>
      <c r="D15" s="70"/>
      <c r="E15" s="16">
        <f>'[6]WD_.PX.WYE._.SER.WD.2027'!$C$15</f>
        <v>2119.0589086363157</v>
      </c>
      <c r="F15" s="16">
        <f>(C15*'[6]Table 1'!$AX$15+E15*'[6]Table 1'!$AY$15)/SUM('[6]Table 1'!$AX$15:$AY$15)</f>
        <v>2181.0054461526861</v>
      </c>
      <c r="G15" s="7">
        <f>'[7]WD_.PX.DJW._.PTC.2028'!C13</f>
        <v>1439.3347800000001</v>
      </c>
      <c r="H15" s="7">
        <f>'[8]WD_.PX.DJW._.PTC.2028'!C13</f>
        <v>1395.0771713402</v>
      </c>
      <c r="I15" s="8">
        <f>'[9]Table 3 WD_.PX.DJW._.PTC.2029'!C12</f>
        <v>1395.0771713402</v>
      </c>
      <c r="J15" s="12"/>
    </row>
    <row r="16" spans="1:10" x14ac:dyDescent="0.25">
      <c r="A16" s="12"/>
      <c r="B16" s="12">
        <v>2028</v>
      </c>
      <c r="C16" s="71"/>
      <c r="D16" s="72"/>
      <c r="E16" s="18"/>
      <c r="F16" s="18"/>
      <c r="G16" s="18">
        <f>'[7]WD_.PX.DJW._.PTC.2028'!C14</f>
        <v>1454.9327960000001</v>
      </c>
      <c r="H16" s="18">
        <f>'[8]WD_.PX.DJW._.PTC.2028'!C14</f>
        <v>1394.9560833849202</v>
      </c>
      <c r="I16" s="10">
        <f>'[9]Table 3 WD_.PX.DJW._.PTC.2029'!C13</f>
        <v>1394.9560833849202</v>
      </c>
      <c r="J16" s="12"/>
    </row>
    <row r="17" spans="1:10" ht="15.75" thickBot="1" x14ac:dyDescent="0.3">
      <c r="A17" s="12"/>
      <c r="B17" s="12">
        <v>2029</v>
      </c>
      <c r="C17" s="73"/>
      <c r="D17" s="74"/>
      <c r="E17" s="22"/>
      <c r="F17" s="22"/>
      <c r="G17" s="22"/>
      <c r="H17" s="22"/>
      <c r="I17" s="24">
        <f>'[9]Table 3 WD_.PX.DJW._.PTC.2029'!C14</f>
        <v>1394.16671932432</v>
      </c>
      <c r="J17" s="12"/>
    </row>
    <row r="18" spans="1:10" x14ac:dyDescent="0.25">
      <c r="A18" s="12"/>
      <c r="B18" s="21" t="s">
        <v>29</v>
      </c>
      <c r="C18" s="12"/>
      <c r="D18" s="12"/>
      <c r="E18" s="12"/>
      <c r="F18" s="12"/>
      <c r="G18" s="25">
        <f>(G15-$F15)/$F15</f>
        <v>-0.34005906196199553</v>
      </c>
      <c r="H18" s="25">
        <f>(H15-$F15)/$F15</f>
        <v>-0.36035135822281911</v>
      </c>
      <c r="I18" s="25">
        <f>(I15-$F15)/$F15</f>
        <v>-0.36035135822281911</v>
      </c>
      <c r="J18" s="12"/>
    </row>
    <row r="19" spans="1:10" ht="28.5" customHeight="1" x14ac:dyDescent="0.25">
      <c r="A19" s="12"/>
      <c r="B19" s="12"/>
      <c r="C19" s="12"/>
      <c r="D19" s="65" t="s">
        <v>30</v>
      </c>
      <c r="E19" s="66"/>
      <c r="F19" s="12"/>
      <c r="G19" s="63" t="s">
        <v>38</v>
      </c>
      <c r="H19" s="64"/>
      <c r="I19" s="12"/>
      <c r="J19" s="12"/>
    </row>
    <row r="20" spans="1:10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</row>
  </sheetData>
  <mergeCells count="8">
    <mergeCell ref="G19:H19"/>
    <mergeCell ref="D19:E19"/>
    <mergeCell ref="C4:E4"/>
    <mergeCell ref="C13:E13"/>
    <mergeCell ref="C14:D14"/>
    <mergeCell ref="C15:D15"/>
    <mergeCell ref="C16:D16"/>
    <mergeCell ref="C17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4D165-23E5-41A7-8B9D-9B92944EB15A}">
  <dimension ref="A1:AC19"/>
  <sheetViews>
    <sheetView zoomScaleNormal="100" workbookViewId="0">
      <selection activeCell="B1" sqref="B1"/>
    </sheetView>
  </sheetViews>
  <sheetFormatPr defaultRowHeight="15" x14ac:dyDescent="0.25"/>
  <cols>
    <col min="1" max="1" width="17" customWidth="1"/>
    <col min="2" max="2" width="22.42578125" customWidth="1"/>
    <col min="3" max="3" width="8.28515625" customWidth="1"/>
    <col min="4" max="4" width="7.42578125" customWidth="1"/>
    <col min="6" max="6" width="7.7109375" customWidth="1"/>
    <col min="7" max="7" width="8.42578125" customWidth="1"/>
    <col min="8" max="8" width="8.28515625" customWidth="1"/>
    <col min="11" max="11" width="2.140625" customWidth="1"/>
    <col min="13" max="13" width="2.42578125" customWidth="1"/>
    <col min="17" max="17" width="9.5703125" bestFit="1" customWidth="1"/>
    <col min="18" max="18" width="10.28515625" bestFit="1" customWidth="1"/>
    <col min="19" max="19" width="9.5703125" bestFit="1" customWidth="1"/>
    <col min="20" max="20" width="9.28515625" bestFit="1" customWidth="1"/>
    <col min="21" max="26" width="9.5703125" bestFit="1" customWidth="1"/>
    <col min="27" max="27" width="9.28515625" bestFit="1" customWidth="1"/>
    <col min="28" max="28" width="10.28515625" bestFit="1" customWidth="1"/>
    <col min="29" max="29" width="11.28515625" bestFit="1" customWidth="1"/>
  </cols>
  <sheetData>
    <row r="1" spans="1:29" x14ac:dyDescent="0.25">
      <c r="B1" s="5" t="s">
        <v>44</v>
      </c>
    </row>
    <row r="2" spans="1:29" x14ac:dyDescent="0.25">
      <c r="A2" s="32"/>
      <c r="B2" s="37"/>
      <c r="C2" s="75" t="str">
        <f>[10]Summary!C2</f>
        <v>Indicative Solar QF Avoided Cost, $/MWh</v>
      </c>
      <c r="D2" s="75">
        <f>[10]Summary!D2</f>
        <v>0</v>
      </c>
      <c r="E2" s="75">
        <f>[10]Summary!E2</f>
        <v>0</v>
      </c>
      <c r="F2" s="75">
        <f>[10]Summary!F2</f>
        <v>0</v>
      </c>
      <c r="G2" s="75">
        <f>[10]Summary!G2</f>
        <v>0</v>
      </c>
      <c r="H2" s="75">
        <f>[10]Summary!H2</f>
        <v>0</v>
      </c>
    </row>
    <row r="3" spans="1:29" x14ac:dyDescent="0.25">
      <c r="A3" s="32"/>
      <c r="B3" s="38" t="str">
        <f>[10]Summary!B3</f>
        <v>Proposed Term:</v>
      </c>
      <c r="C3" s="75" t="str">
        <f>[10]Summary!C3</f>
        <v>2025 - 2039</v>
      </c>
      <c r="D3" s="75">
        <f>[10]Summary!D3</f>
        <v>0</v>
      </c>
      <c r="E3" s="75" t="str">
        <f>[10]Summary!E3</f>
        <v>2026 - 2040</v>
      </c>
      <c r="F3" s="75">
        <f>[10]Summary!F3</f>
        <v>0</v>
      </c>
      <c r="G3" s="75" t="str">
        <f>[10]Summary!G3</f>
        <v>2027 - 2041</v>
      </c>
      <c r="H3" s="75">
        <f>[10]Summary!H3</f>
        <v>0</v>
      </c>
      <c r="J3" t="s">
        <v>37</v>
      </c>
    </row>
    <row r="4" spans="1:29" x14ac:dyDescent="0.25">
      <c r="A4" s="32"/>
      <c r="B4" s="39" t="s">
        <v>27</v>
      </c>
      <c r="C4" s="40">
        <f>'[2]Table 1'!$G$50</f>
        <v>32.831587488631563</v>
      </c>
      <c r="D4" s="41">
        <f>C4-C5</f>
        <v>-0.7442906329229686</v>
      </c>
      <c r="E4" s="40">
        <f>'[2]Table 1'!$G$55</f>
        <v>35.560984867537023</v>
      </c>
      <c r="F4" s="41">
        <f>E4-E5</f>
        <v>0.37425008410546212</v>
      </c>
      <c r="G4" s="40">
        <f>'[2]Table 1'!$G$60</f>
        <v>38.423433594741887</v>
      </c>
      <c r="H4" s="42">
        <f>G4-G5</f>
        <v>1.0155003666494409</v>
      </c>
      <c r="J4" s="62" t="str">
        <f>C3</f>
        <v>2025 - 2039</v>
      </c>
      <c r="L4" s="62" t="str">
        <f>E3</f>
        <v>2026 - 2040</v>
      </c>
      <c r="N4" s="62" t="str">
        <f>G3</f>
        <v>2027 - 2041</v>
      </c>
    </row>
    <row r="5" spans="1:29" x14ac:dyDescent="0.25">
      <c r="A5" s="32"/>
      <c r="B5" s="39" t="s">
        <v>36</v>
      </c>
      <c r="C5" s="43">
        <f>'[11]Table 1'!$G$50</f>
        <v>33.575878121554531</v>
      </c>
      <c r="D5" s="44">
        <f>C5-C6</f>
        <v>9.9258781215545326</v>
      </c>
      <c r="E5" s="43">
        <f>'[11]Table 1'!$G$55</f>
        <v>35.186734783431561</v>
      </c>
      <c r="F5" s="44">
        <f>E5-E6</f>
        <v>11.74673478343156</v>
      </c>
      <c r="G5" s="45">
        <f>'[11]Table 1'!$G$60</f>
        <v>37.407933228092446</v>
      </c>
      <c r="H5" s="46">
        <f>G5-G6</f>
        <v>13.727933228092446</v>
      </c>
      <c r="J5" s="4">
        <f>D5/SUM(D4:D5)</f>
        <v>1.0810633927787032</v>
      </c>
      <c r="L5" s="4">
        <f>F5/SUM(F4:F5)</f>
        <v>0.96912378918087783</v>
      </c>
      <c r="N5" s="4">
        <f>H5/SUM(H4:H5)</f>
        <v>0.93112185434120243</v>
      </c>
    </row>
    <row r="6" spans="1:29" x14ac:dyDescent="0.25">
      <c r="A6" s="32"/>
      <c r="B6" s="39" t="str">
        <f>[10]Summary!B4</f>
        <v>2025.Q1 As Filed</v>
      </c>
      <c r="C6" s="40">
        <f>[10]Summary!C4</f>
        <v>23.65</v>
      </c>
      <c r="D6" s="41"/>
      <c r="E6" s="40">
        <f>[10]Summary!E4</f>
        <v>23.44</v>
      </c>
      <c r="F6" s="42"/>
      <c r="G6" s="41">
        <f>[10]Summary!G4</f>
        <v>23.68</v>
      </c>
      <c r="H6" s="42"/>
    </row>
    <row r="7" spans="1:29" x14ac:dyDescent="0.25">
      <c r="A7" s="32" t="str">
        <f>[10]Summary!A5</f>
        <v>Routine update</v>
      </c>
      <c r="B7" s="47" t="str">
        <f>[10]Summary!B5</f>
        <v>OFPC June 2025</v>
      </c>
      <c r="C7" s="43">
        <f>[10]Summary!C5</f>
        <v>23.98</v>
      </c>
      <c r="D7" s="48" t="str">
        <f>[10]Summary!D5</f>
        <v>+$0.33</v>
      </c>
      <c r="E7" s="43">
        <f>[10]Summary!E5</f>
        <v>23.86</v>
      </c>
      <c r="F7" s="49" t="str">
        <f>[10]Summary!F5</f>
        <v>+$0.42</v>
      </c>
      <c r="G7" s="48">
        <f>[10]Summary!G5</f>
        <v>23.92</v>
      </c>
      <c r="H7" s="49" t="str">
        <f>[10]Summary!H5</f>
        <v>+$0.24</v>
      </c>
    </row>
    <row r="8" spans="1:29" x14ac:dyDescent="0.25">
      <c r="A8" s="32" t="str">
        <f>[10]Summary!A6</f>
        <v>Routine update</v>
      </c>
      <c r="B8" s="47" t="str">
        <f>[10]Summary!B6</f>
        <v>Corrected Escalation</v>
      </c>
      <c r="C8" s="45">
        <f>[10]Summary!C6</f>
        <v>25.43</v>
      </c>
      <c r="D8" s="44" t="str">
        <f>[10]Summary!D6</f>
        <v>+$1.45</v>
      </c>
      <c r="E8" s="45">
        <f>[10]Summary!E6</f>
        <v>25.57</v>
      </c>
      <c r="F8" s="46" t="str">
        <f>[10]Summary!F6</f>
        <v>+$1.71</v>
      </c>
      <c r="G8" s="45">
        <f>[10]Summary!G6</f>
        <v>25.91</v>
      </c>
      <c r="H8" s="46" t="str">
        <f>[10]Summary!H6</f>
        <v>+$1.99</v>
      </c>
    </row>
    <row r="9" spans="1:29" x14ac:dyDescent="0.25">
      <c r="A9" s="33" t="str">
        <f>[10]Summary!A7</f>
        <v>Non-routine update</v>
      </c>
      <c r="B9" s="50" t="str">
        <f>[10]Summary!B7</f>
        <v xml:space="preserve">Final 2025 IRP </v>
      </c>
      <c r="C9" s="51">
        <f>[10]Summary!C7</f>
        <v>5.94</v>
      </c>
      <c r="D9" s="52" t="str">
        <f>[10]Summary!D7</f>
        <v>-$19.49</v>
      </c>
      <c r="E9" s="51">
        <f>[10]Summary!E7</f>
        <v>3.58</v>
      </c>
      <c r="F9" s="53" t="str">
        <f>[10]Summary!F7</f>
        <v>-$21.99</v>
      </c>
      <c r="G9" s="52">
        <f>[10]Summary!G7</f>
        <v>3.72</v>
      </c>
      <c r="H9" s="53" t="str">
        <f>[10]Summary!H7</f>
        <v>-$22.19</v>
      </c>
    </row>
    <row r="10" spans="1:29" ht="3.75" customHeight="1" x14ac:dyDescent="0.25">
      <c r="A10" s="32"/>
      <c r="B10" s="54"/>
      <c r="C10" s="55"/>
      <c r="D10" s="55"/>
      <c r="E10" s="39"/>
      <c r="F10" s="39"/>
      <c r="G10" s="39"/>
      <c r="H10" s="39"/>
    </row>
    <row r="11" spans="1:29" x14ac:dyDescent="0.25">
      <c r="A11" s="32"/>
      <c r="B11" s="37"/>
      <c r="C11" s="75" t="str">
        <f>[12]Summary!C2</f>
        <v>Indicative Wind QF Avoided Cost, $/MWh</v>
      </c>
      <c r="D11" s="75">
        <f>[12]Summary!D2</f>
        <v>0</v>
      </c>
      <c r="E11" s="75">
        <f>[12]Summary!E2</f>
        <v>0</v>
      </c>
      <c r="F11" s="75">
        <f>[12]Summary!F2</f>
        <v>0</v>
      </c>
      <c r="G11" s="75">
        <f>[12]Summary!G2</f>
        <v>0</v>
      </c>
      <c r="H11" s="75">
        <f>[12]Summary!H2</f>
        <v>0</v>
      </c>
      <c r="R11" s="61" t="s">
        <v>40</v>
      </c>
    </row>
    <row r="12" spans="1:29" x14ac:dyDescent="0.25">
      <c r="A12" s="32"/>
      <c r="B12" s="38" t="str">
        <f>[12]Summary!B3</f>
        <v>Proposed Term:</v>
      </c>
      <c r="C12" s="75" t="str">
        <f>[12]Summary!C3</f>
        <v>2025 - 2039</v>
      </c>
      <c r="D12" s="75">
        <f>[12]Summary!D3</f>
        <v>0</v>
      </c>
      <c r="E12" s="75" t="str">
        <f>[12]Summary!E3</f>
        <v>2026 - 2040</v>
      </c>
      <c r="F12" s="75">
        <f>[12]Summary!F3</f>
        <v>0</v>
      </c>
      <c r="G12" s="75" t="str">
        <f>[12]Summary!G3</f>
        <v>2027 - 2041</v>
      </c>
      <c r="H12" s="75">
        <f>[12]Summary!H3</f>
        <v>0</v>
      </c>
      <c r="J12" t="s">
        <v>37</v>
      </c>
      <c r="P12" t="s">
        <v>17</v>
      </c>
      <c r="Q12" s="35">
        <v>2028</v>
      </c>
      <c r="R12" s="36">
        <v>46753</v>
      </c>
      <c r="S12" s="36">
        <v>46784</v>
      </c>
      <c r="T12" s="36">
        <v>46813</v>
      </c>
      <c r="U12" s="36">
        <v>46844</v>
      </c>
      <c r="V12" s="36">
        <v>46874</v>
      </c>
      <c r="W12" s="36">
        <v>46905</v>
      </c>
      <c r="X12" s="36">
        <v>46935</v>
      </c>
      <c r="Y12" s="36">
        <v>46966</v>
      </c>
      <c r="Z12" s="36">
        <v>46997</v>
      </c>
      <c r="AA12" s="36">
        <v>47027</v>
      </c>
      <c r="AB12" s="36">
        <v>47058</v>
      </c>
      <c r="AC12" s="36">
        <v>47088</v>
      </c>
    </row>
    <row r="13" spans="1:29" x14ac:dyDescent="0.25">
      <c r="A13" s="32"/>
      <c r="B13" s="39" t="s">
        <v>27</v>
      </c>
      <c r="C13" s="40">
        <f>'[2]Table 1'!$G$50</f>
        <v>32.831587488631563</v>
      </c>
      <c r="D13" s="41">
        <f>C13-C14</f>
        <v>6.8843521679420547</v>
      </c>
      <c r="E13" s="40">
        <f>'[2]Table 1'!$G$55</f>
        <v>35.560984867537023</v>
      </c>
      <c r="F13" s="41">
        <f>E13-E14</f>
        <v>7.2747335059834413</v>
      </c>
      <c r="G13" s="40">
        <f>'[2]Table 1'!$G$60</f>
        <v>38.423433594741887</v>
      </c>
      <c r="H13" s="42">
        <f>G13-G14</f>
        <v>7.5318592973127494</v>
      </c>
      <c r="J13" s="62" t="str">
        <f>C12</f>
        <v>2025 - 2039</v>
      </c>
      <c r="L13" s="62" t="str">
        <f>E12</f>
        <v>2026 - 2040</v>
      </c>
      <c r="N13" s="62" t="str">
        <f>G12</f>
        <v>2027 - 2041</v>
      </c>
      <c r="P13" t="s">
        <v>42</v>
      </c>
      <c r="Q13" s="2">
        <f>SUM(R13:AC13)</f>
        <v>212236.90876235004</v>
      </c>
      <c r="R13" s="2">
        <v>19018.897428480002</v>
      </c>
      <c r="S13" s="2">
        <v>19877.56870222</v>
      </c>
      <c r="T13" s="2">
        <v>17408.180495410001</v>
      </c>
      <c r="U13" s="2">
        <v>23588.34631157</v>
      </c>
      <c r="V13" s="2">
        <v>21850.675363670001</v>
      </c>
      <c r="W13" s="2">
        <v>21727.221439299999</v>
      </c>
      <c r="X13" s="2">
        <v>13087.66273665</v>
      </c>
      <c r="Y13" s="2">
        <v>13352.837596360001</v>
      </c>
      <c r="Z13" s="2">
        <v>11306.15984007</v>
      </c>
      <c r="AA13" s="2">
        <v>23404.872506280004</v>
      </c>
      <c r="AB13" s="2">
        <v>14273.345559230002</v>
      </c>
      <c r="AC13" s="2">
        <v>13341.14078311</v>
      </c>
    </row>
    <row r="14" spans="1:29" x14ac:dyDescent="0.25">
      <c r="A14" s="32"/>
      <c r="B14" s="39" t="s">
        <v>36</v>
      </c>
      <c r="C14" s="43">
        <f>'[13]Table 1'!$G$50</f>
        <v>25.947235320689508</v>
      </c>
      <c r="D14" s="44">
        <f>C14-C15</f>
        <v>9.737235320689507</v>
      </c>
      <c r="E14" s="43">
        <f>'[13]Table 1'!$G$55</f>
        <v>28.286251361553582</v>
      </c>
      <c r="F14" s="44">
        <f>E14-E15</f>
        <v>11.016251361553582</v>
      </c>
      <c r="G14" s="43">
        <f>'[13]Table 1'!$G$60</f>
        <v>30.891574297429138</v>
      </c>
      <c r="H14" s="46">
        <f>G14-G15</f>
        <v>12.391574297429138</v>
      </c>
      <c r="J14" s="4">
        <f>D14/SUM(D13:D14)</f>
        <v>0.58581861253321021</v>
      </c>
      <c r="L14" s="4">
        <f>F14/SUM(F13:F14)</f>
        <v>0.60227764887090951</v>
      </c>
      <c r="N14" s="4">
        <f>H14/SUM(H13:H14)</f>
        <v>0.62195977608495523</v>
      </c>
      <c r="P14" t="s">
        <v>43</v>
      </c>
      <c r="Q14" s="2">
        <f>SUM(R14:AC14)</f>
        <v>203867.42518210004</v>
      </c>
      <c r="R14" s="2">
        <v>25237.619336150005</v>
      </c>
      <c r="S14" s="2">
        <v>15780.797552150019</v>
      </c>
      <c r="T14" s="2">
        <v>17856.083906579966</v>
      </c>
      <c r="U14" s="2">
        <v>18197.501662969997</v>
      </c>
      <c r="V14" s="2">
        <v>12864.39094656003</v>
      </c>
      <c r="W14" s="2">
        <v>13555.893161309985</v>
      </c>
      <c r="X14" s="2">
        <v>9001.6925793799746</v>
      </c>
      <c r="Y14" s="2">
        <v>10033.041847710017</v>
      </c>
      <c r="Z14" s="2">
        <v>8721.3712931300106</v>
      </c>
      <c r="AA14" s="2">
        <v>22995.701573970087</v>
      </c>
      <c r="AB14" s="2">
        <v>21234.855041309958</v>
      </c>
      <c r="AC14" s="2">
        <v>28388.476280879986</v>
      </c>
    </row>
    <row r="15" spans="1:29" x14ac:dyDescent="0.25">
      <c r="A15" s="32"/>
      <c r="B15" s="39" t="str">
        <f>[12]Summary!B4</f>
        <v>2025.Q1 As Filed</v>
      </c>
      <c r="C15" s="40">
        <f>[12]Summary!C4</f>
        <v>16.21</v>
      </c>
      <c r="D15" s="41"/>
      <c r="E15" s="40">
        <f>[12]Summary!E4</f>
        <v>17.27</v>
      </c>
      <c r="F15" s="42"/>
      <c r="G15" s="41">
        <f>[12]Summary!G4</f>
        <v>18.5</v>
      </c>
      <c r="H15" s="42"/>
      <c r="P15" t="s">
        <v>11</v>
      </c>
      <c r="Q15" s="2">
        <f>Q13-Q14</f>
        <v>8369.483580250002</v>
      </c>
      <c r="R15" s="2">
        <f t="shared" ref="R15:AC15" si="0">R13-R14</f>
        <v>-6218.7219076700021</v>
      </c>
      <c r="S15" s="2">
        <f t="shared" si="0"/>
        <v>4096.7711500699806</v>
      </c>
      <c r="T15" s="2">
        <f t="shared" si="0"/>
        <v>-447.90341116996569</v>
      </c>
      <c r="U15" s="2">
        <f t="shared" si="0"/>
        <v>5390.844648600003</v>
      </c>
      <c r="V15" s="2">
        <f t="shared" si="0"/>
        <v>8986.2844171099714</v>
      </c>
      <c r="W15" s="2">
        <f t="shared" si="0"/>
        <v>8171.3282779900146</v>
      </c>
      <c r="X15" s="2">
        <f t="shared" si="0"/>
        <v>4085.9701572700251</v>
      </c>
      <c r="Y15" s="2">
        <f t="shared" si="0"/>
        <v>3319.7957486499836</v>
      </c>
      <c r="Z15" s="2">
        <f t="shared" si="0"/>
        <v>2584.7885469399898</v>
      </c>
      <c r="AA15" s="2">
        <f t="shared" si="0"/>
        <v>409.17093230991668</v>
      </c>
      <c r="AB15" s="2">
        <f t="shared" si="0"/>
        <v>-6961.5094820799568</v>
      </c>
      <c r="AC15" s="2">
        <f t="shared" si="0"/>
        <v>-15047.335497769986</v>
      </c>
    </row>
    <row r="16" spans="1:29" x14ac:dyDescent="0.25">
      <c r="A16" s="32" t="str">
        <f>[12]Summary!A5</f>
        <v>Routine update</v>
      </c>
      <c r="B16" s="47" t="str">
        <f>[12]Summary!B5</f>
        <v>OFPC June 2025</v>
      </c>
      <c r="C16" s="43">
        <f>[12]Summary!C5</f>
        <v>16.66</v>
      </c>
      <c r="D16" s="48" t="str">
        <f>[12]Summary!D5</f>
        <v>+$0.45</v>
      </c>
      <c r="E16" s="43">
        <f>[12]Summary!E5</f>
        <v>17.809999999999999</v>
      </c>
      <c r="F16" s="49" t="str">
        <f>[12]Summary!F5</f>
        <v>+$0.54</v>
      </c>
      <c r="G16" s="48">
        <f>[12]Summary!G5</f>
        <v>18.82</v>
      </c>
      <c r="H16" s="49" t="str">
        <f>[12]Summary!H5</f>
        <v>+$0.32</v>
      </c>
      <c r="P16" t="s">
        <v>41</v>
      </c>
      <c r="Q16" s="4">
        <f t="shared" ref="Q16:AB16" si="1">Q15/Q14</f>
        <v>4.1053560041650339E-2</v>
      </c>
      <c r="R16" s="4">
        <f t="shared" si="1"/>
        <v>-0.24640683516302958</v>
      </c>
      <c r="S16" s="4">
        <f t="shared" si="1"/>
        <v>0.25960482266701568</v>
      </c>
      <c r="T16" s="4">
        <f t="shared" si="1"/>
        <v>-2.5084078542267227E-2</v>
      </c>
      <c r="U16" s="4">
        <f t="shared" si="1"/>
        <v>0.29624092078363728</v>
      </c>
      <c r="V16" s="4">
        <f t="shared" si="1"/>
        <v>0.69853943761814286</v>
      </c>
      <c r="W16" s="4">
        <f t="shared" si="1"/>
        <v>0.60278789311440484</v>
      </c>
      <c r="X16" s="4">
        <f t="shared" si="1"/>
        <v>0.45391131959223846</v>
      </c>
      <c r="Y16" s="4">
        <f t="shared" si="1"/>
        <v>0.3308862655055812</v>
      </c>
      <c r="Z16" s="4">
        <f t="shared" si="1"/>
        <v>0.29637409761192907</v>
      </c>
      <c r="AA16" s="4">
        <f t="shared" si="1"/>
        <v>1.7793365903351104E-2</v>
      </c>
      <c r="AB16" s="4">
        <f t="shared" si="1"/>
        <v>-0.32783409486606546</v>
      </c>
      <c r="AC16" s="4">
        <f>AC15/AC14</f>
        <v>-0.53005083291154187</v>
      </c>
    </row>
    <row r="17" spans="1:8" x14ac:dyDescent="0.25">
      <c r="A17" s="32" t="str">
        <f>[12]Summary!A6</f>
        <v>Routine update</v>
      </c>
      <c r="B17" s="47" t="str">
        <f>[12]Summary!B6</f>
        <v>Corrected Escalation</v>
      </c>
      <c r="C17" s="43">
        <f>[12]Summary!C6</f>
        <v>15.85</v>
      </c>
      <c r="D17" s="48" t="str">
        <f>[12]Summary!D6</f>
        <v>-$0.81</v>
      </c>
      <c r="E17" s="43">
        <f>[12]Summary!E6</f>
        <v>16.899999999999999</v>
      </c>
      <c r="F17" s="49" t="str">
        <f>[12]Summary!F6</f>
        <v>-$0.91</v>
      </c>
      <c r="G17" s="48">
        <f>[12]Summary!G6</f>
        <v>17.8</v>
      </c>
      <c r="H17" s="49" t="str">
        <f>[12]Summary!H6</f>
        <v>-$1.02</v>
      </c>
    </row>
    <row r="18" spans="1:8" x14ac:dyDescent="0.25">
      <c r="A18" s="33" t="str">
        <f>[12]Summary!A7</f>
        <v>Non-routine update</v>
      </c>
      <c r="B18" s="50" t="str">
        <f>[12]Summary!B7</f>
        <v xml:space="preserve">Final 2025 IRP </v>
      </c>
      <c r="C18" s="56">
        <f>[12]Summary!C7</f>
        <v>5.4</v>
      </c>
      <c r="D18" s="57" t="str">
        <f>[12]Summary!D7</f>
        <v>-$10.45</v>
      </c>
      <c r="E18" s="56">
        <f>[12]Summary!E7</f>
        <v>5.44</v>
      </c>
      <c r="F18" s="58" t="str">
        <f>[12]Summary!F7</f>
        <v>-$11.46</v>
      </c>
      <c r="G18" s="57">
        <f>[12]Summary!G7</f>
        <v>5.0999999999999996</v>
      </c>
      <c r="H18" s="58" t="str">
        <f>[12]Summary!H7</f>
        <v>-$12.70</v>
      </c>
    </row>
    <row r="19" spans="1:8" x14ac:dyDescent="0.25">
      <c r="A19" s="32"/>
      <c r="B19" s="33"/>
      <c r="C19" s="34"/>
      <c r="D19" s="34"/>
      <c r="E19" s="32"/>
      <c r="F19" s="32"/>
      <c r="G19" s="32"/>
      <c r="H19" s="32"/>
    </row>
  </sheetData>
  <mergeCells count="8">
    <mergeCell ref="C12:D12"/>
    <mergeCell ref="E12:F12"/>
    <mergeCell ref="G12:H12"/>
    <mergeCell ref="C2:H2"/>
    <mergeCell ref="C3:D3"/>
    <mergeCell ref="E3:F3"/>
    <mergeCell ref="G3:H3"/>
    <mergeCell ref="C11:H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04D84-2ED3-4CEB-A175-615960D47C67}">
  <dimension ref="A1:G17"/>
  <sheetViews>
    <sheetView workbookViewId="0">
      <selection activeCell="H4" sqref="H4"/>
    </sheetView>
  </sheetViews>
  <sheetFormatPr defaultRowHeight="15" x14ac:dyDescent="0.25"/>
  <sheetData>
    <row r="1" spans="1:7" x14ac:dyDescent="0.25">
      <c r="B1" t="s">
        <v>39</v>
      </c>
    </row>
    <row r="2" spans="1:7" x14ac:dyDescent="0.25">
      <c r="A2" s="59" t="s">
        <v>27</v>
      </c>
      <c r="B2" s="5" t="s">
        <v>2</v>
      </c>
    </row>
    <row r="3" spans="1:7" ht="60" x14ac:dyDescent="0.25">
      <c r="A3" t="s">
        <v>3</v>
      </c>
      <c r="B3" s="1" t="s">
        <v>0</v>
      </c>
      <c r="C3" s="1" t="s">
        <v>1</v>
      </c>
      <c r="D3" s="1" t="s">
        <v>4</v>
      </c>
      <c r="F3" s="1" t="s">
        <v>6</v>
      </c>
      <c r="G3" s="1" t="s">
        <v>5</v>
      </c>
    </row>
    <row r="4" spans="1:7" x14ac:dyDescent="0.25">
      <c r="A4">
        <v>2029</v>
      </c>
      <c r="B4" s="60">
        <v>8929.2401304731702</v>
      </c>
      <c r="C4" s="60">
        <v>287.53440000000001</v>
      </c>
      <c r="D4" s="3">
        <f>B4/C4</f>
        <v>31.054510801049091</v>
      </c>
      <c r="F4">
        <f>[1]Capacity!D15</f>
        <v>117.19486081370449</v>
      </c>
      <c r="G4" s="4">
        <f>D4/F4</f>
        <v>0.26498184805572678</v>
      </c>
    </row>
    <row r="5" spans="1:7" x14ac:dyDescent="0.25">
      <c r="A5">
        <f>A4+1</f>
        <v>2030</v>
      </c>
      <c r="B5" s="60">
        <v>5034.0331071926803</v>
      </c>
      <c r="C5" s="60">
        <v>287.53440000000001</v>
      </c>
      <c r="D5" s="3">
        <f t="shared" ref="D5:D17" si="0">B5/C5</f>
        <v>17.50758555217282</v>
      </c>
      <c r="F5">
        <f>[1]Capacity!D16</f>
        <v>119.87152034261243</v>
      </c>
      <c r="G5" s="4">
        <f t="shared" ref="G5:G17" si="1">D5/F5</f>
        <v>0.14605291984395688</v>
      </c>
    </row>
    <row r="6" spans="1:7" x14ac:dyDescent="0.25">
      <c r="A6">
        <f t="shared" ref="A6:A17" si="2">A5+1</f>
        <v>2031</v>
      </c>
      <c r="B6" s="60">
        <v>5538.38848679276</v>
      </c>
      <c r="C6" s="60">
        <v>287.53440000000001</v>
      </c>
      <c r="D6" s="3">
        <f t="shared" si="0"/>
        <v>19.261655255137331</v>
      </c>
      <c r="F6">
        <f>[1]Capacity!D17</f>
        <v>122.61241970021415</v>
      </c>
      <c r="G6" s="4">
        <f t="shared" si="1"/>
        <v>0.15709383521042844</v>
      </c>
    </row>
    <row r="7" spans="1:7" x14ac:dyDescent="0.25">
      <c r="A7">
        <f t="shared" si="2"/>
        <v>2032</v>
      </c>
      <c r="B7" s="60">
        <v>3532.5348051529295</v>
      </c>
      <c r="C7" s="60">
        <v>287.53440000000001</v>
      </c>
      <c r="D7" s="3">
        <f t="shared" si="0"/>
        <v>12.285607583485417</v>
      </c>
      <c r="F7">
        <f>[1]Capacity!D18</f>
        <v>125.406852248394</v>
      </c>
      <c r="G7" s="4">
        <f t="shared" si="1"/>
        <v>9.7965999171650123E-2</v>
      </c>
    </row>
    <row r="8" spans="1:7" x14ac:dyDescent="0.25">
      <c r="A8">
        <f t="shared" si="2"/>
        <v>2033</v>
      </c>
      <c r="B8" s="60">
        <v>2817.9837473204907</v>
      </c>
      <c r="C8" s="60">
        <v>287.53440000000001</v>
      </c>
      <c r="D8" s="3">
        <f t="shared" si="0"/>
        <v>9.8005099470549979</v>
      </c>
      <c r="F8">
        <f>[1]Capacity!D19</f>
        <v>128.26552462526766</v>
      </c>
      <c r="G8" s="4">
        <f t="shared" si="1"/>
        <v>7.6407982391897902E-2</v>
      </c>
    </row>
    <row r="9" spans="1:7" x14ac:dyDescent="0.25">
      <c r="A9">
        <f t="shared" si="2"/>
        <v>2034</v>
      </c>
      <c r="B9" s="60">
        <v>3092.2807753549605</v>
      </c>
      <c r="C9" s="60">
        <v>287.53440000000001</v>
      </c>
      <c r="D9" s="3">
        <f t="shared" si="0"/>
        <v>10.754472422621294</v>
      </c>
      <c r="F9">
        <f>[1]Capacity!D20</f>
        <v>131.19914346895078</v>
      </c>
      <c r="G9" s="4">
        <f t="shared" si="1"/>
        <v>8.1970599336774003E-2</v>
      </c>
    </row>
    <row r="10" spans="1:7" x14ac:dyDescent="0.25">
      <c r="A10">
        <f t="shared" si="2"/>
        <v>2035</v>
      </c>
      <c r="B10" s="60">
        <v>2700.5510446885705</v>
      </c>
      <c r="C10" s="60">
        <v>287.53440000000001</v>
      </c>
      <c r="D10" s="3">
        <f t="shared" si="0"/>
        <v>9.3920972401513367</v>
      </c>
      <c r="F10">
        <f>[1]Capacity!D21</f>
        <v>134.19700214132763</v>
      </c>
      <c r="G10" s="4">
        <f t="shared" si="1"/>
        <v>6.9987384891505883E-2</v>
      </c>
    </row>
    <row r="11" spans="1:7" x14ac:dyDescent="0.25">
      <c r="A11">
        <f t="shared" si="2"/>
        <v>2036</v>
      </c>
      <c r="B11" s="60">
        <v>2192.0916388455298</v>
      </c>
      <c r="C11" s="60">
        <v>287.53440000000001</v>
      </c>
      <c r="D11" s="3">
        <f t="shared" si="0"/>
        <v>7.6237543711136118</v>
      </c>
      <c r="F11">
        <f>[1]Capacity!D22</f>
        <v>137.25910064239827</v>
      </c>
      <c r="G11" s="4">
        <f t="shared" si="1"/>
        <v>5.5542797056319149E-2</v>
      </c>
    </row>
    <row r="12" spans="1:7" x14ac:dyDescent="0.25">
      <c r="A12">
        <f t="shared" si="2"/>
        <v>2037</v>
      </c>
      <c r="B12" s="60">
        <v>1031.2703630902299</v>
      </c>
      <c r="C12" s="60">
        <v>287.53440000000001</v>
      </c>
      <c r="D12" s="3">
        <f t="shared" si="0"/>
        <v>3.5865982056068071</v>
      </c>
      <c r="F12">
        <f>[1]Capacity!D23</f>
        <v>140.38543897216275</v>
      </c>
      <c r="G12" s="4">
        <f t="shared" si="1"/>
        <v>2.5548220897168683E-2</v>
      </c>
    </row>
    <row r="13" spans="1:7" x14ac:dyDescent="0.25">
      <c r="A13">
        <f t="shared" si="2"/>
        <v>2038</v>
      </c>
      <c r="B13" s="60">
        <v>1654.3526640046198</v>
      </c>
      <c r="C13" s="60">
        <v>453.50159999999988</v>
      </c>
      <c r="D13" s="3">
        <f t="shared" si="0"/>
        <v>3.647953312633561</v>
      </c>
      <c r="F13">
        <f>[1]Capacity!D24</f>
        <v>143.58672376873665</v>
      </c>
      <c r="G13" s="4">
        <f t="shared" si="1"/>
        <v>2.5405923450896616E-2</v>
      </c>
    </row>
    <row r="14" spans="1:7" x14ac:dyDescent="0.25">
      <c r="A14">
        <f t="shared" si="2"/>
        <v>2039</v>
      </c>
      <c r="B14" s="60">
        <v>1934.8258426930997</v>
      </c>
      <c r="C14" s="60">
        <v>453.50159999999988</v>
      </c>
      <c r="D14" s="3">
        <f t="shared" si="0"/>
        <v>4.2664145897017791</v>
      </c>
      <c r="F14">
        <f>[1]Capacity!D25</f>
        <v>146.85224839400428</v>
      </c>
      <c r="G14" s="4">
        <f t="shared" si="1"/>
        <v>2.9052429474930461E-2</v>
      </c>
    </row>
    <row r="15" spans="1:7" x14ac:dyDescent="0.25">
      <c r="A15">
        <f t="shared" si="2"/>
        <v>2040</v>
      </c>
      <c r="B15" s="60">
        <v>942.41059711486014</v>
      </c>
      <c r="C15" s="60">
        <v>1044.3471999999999</v>
      </c>
      <c r="D15" s="3">
        <f t="shared" si="0"/>
        <v>0.90239203697281922</v>
      </c>
      <c r="F15">
        <f>[1]Capacity!D26</f>
        <v>150.20342612419699</v>
      </c>
      <c r="G15" s="4">
        <f t="shared" si="1"/>
        <v>6.0077992909873352E-3</v>
      </c>
    </row>
    <row r="16" spans="1:7" x14ac:dyDescent="0.25">
      <c r="A16">
        <f t="shared" si="2"/>
        <v>2041</v>
      </c>
      <c r="B16" s="60">
        <v>94.694202971620015</v>
      </c>
      <c r="C16" s="60">
        <v>1044.3471999999999</v>
      </c>
      <c r="D16" s="3">
        <f t="shared" si="0"/>
        <v>9.0673104664444948E-2</v>
      </c>
      <c r="F16">
        <f>[1]Capacity!D27</f>
        <v>153.62955032119916</v>
      </c>
      <c r="G16" s="4">
        <f t="shared" si="1"/>
        <v>5.9020614507346552E-4</v>
      </c>
    </row>
    <row r="17" spans="1:7" x14ac:dyDescent="0.25">
      <c r="A17">
        <f t="shared" si="2"/>
        <v>2042</v>
      </c>
      <c r="B17" s="60">
        <v>84.703501312279997</v>
      </c>
      <c r="C17" s="60">
        <v>1044.3471999999999</v>
      </c>
      <c r="D17" s="3">
        <f t="shared" si="0"/>
        <v>8.1106648547800961E-2</v>
      </c>
      <c r="F17">
        <f>[1]Capacity!D28</f>
        <v>137.25910064239827</v>
      </c>
      <c r="G17" s="4">
        <f t="shared" si="1"/>
        <v>5.9090179207212253E-4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6C5-09D3-49F7-BC4D-272EE286770B}">
  <dimension ref="B2:K24"/>
  <sheetViews>
    <sheetView workbookViewId="0">
      <selection activeCell="J4" sqref="J4"/>
    </sheetView>
  </sheetViews>
  <sheetFormatPr defaultRowHeight="15" x14ac:dyDescent="0.25"/>
  <cols>
    <col min="3" max="3" width="17" customWidth="1"/>
    <col min="4" max="4" width="12.85546875" bestFit="1" customWidth="1"/>
    <col min="5" max="5" width="13.28515625" bestFit="1" customWidth="1"/>
    <col min="7" max="7" width="18" bestFit="1" customWidth="1"/>
    <col min="8" max="8" width="18.28515625" bestFit="1" customWidth="1"/>
    <col min="9" max="9" width="4.42578125" customWidth="1"/>
    <col min="10" max="10" width="18" bestFit="1" customWidth="1"/>
    <col min="11" max="11" width="18.28515625" bestFit="1" customWidth="1"/>
  </cols>
  <sheetData>
    <row r="2" spans="2:11" x14ac:dyDescent="0.25">
      <c r="C2" s="5" t="s">
        <v>13</v>
      </c>
      <c r="G2" s="5" t="s">
        <v>12</v>
      </c>
      <c r="H2" s="5"/>
      <c r="I2" s="5"/>
      <c r="J2" s="5" t="s">
        <v>14</v>
      </c>
    </row>
    <row r="3" spans="2:11" x14ac:dyDescent="0.25">
      <c r="B3" t="s">
        <v>3</v>
      </c>
      <c r="C3" t="s">
        <v>7</v>
      </c>
      <c r="D3" t="s">
        <v>8</v>
      </c>
      <c r="E3" t="s">
        <v>9</v>
      </c>
      <c r="G3" t="s">
        <v>15</v>
      </c>
      <c r="H3" t="s">
        <v>16</v>
      </c>
      <c r="J3" t="s">
        <v>15</v>
      </c>
      <c r="K3" t="s">
        <v>16</v>
      </c>
    </row>
    <row r="4" spans="2:11" x14ac:dyDescent="0.25">
      <c r="B4">
        <v>2025</v>
      </c>
      <c r="C4" s="2">
        <v>65934.710773723287</v>
      </c>
      <c r="D4" s="2">
        <v>63771.030367775267</v>
      </c>
      <c r="E4" s="2">
        <v>63751.707408468013</v>
      </c>
      <c r="G4" s="6">
        <f>D4-C4</f>
        <v>-2163.6804059480201</v>
      </c>
      <c r="H4" s="6">
        <f>E4-D4</f>
        <v>-19.322959307253768</v>
      </c>
      <c r="I4" s="6"/>
      <c r="J4" s="6">
        <f>G4/8.76</f>
        <v>-246.99548013105252</v>
      </c>
      <c r="K4" s="6">
        <f>H4/8.76</f>
        <v>-2.2058172725175536</v>
      </c>
    </row>
    <row r="5" spans="2:11" x14ac:dyDescent="0.25">
      <c r="B5">
        <f>B4+1</f>
        <v>2026</v>
      </c>
      <c r="C5" s="2">
        <v>67400.57677458167</v>
      </c>
      <c r="D5" s="2">
        <v>63839.843729161585</v>
      </c>
      <c r="E5" s="2">
        <v>63820.52093998756</v>
      </c>
      <c r="G5" s="6">
        <f t="shared" ref="G5:H21" si="0">D5-C5</f>
        <v>-3560.7330454200855</v>
      </c>
      <c r="H5" s="6">
        <f t="shared" si="0"/>
        <v>-19.322789174024365</v>
      </c>
      <c r="I5" s="6"/>
      <c r="J5" s="6">
        <f t="shared" ref="J5:K21" si="1">G5/8.76</f>
        <v>-406.476375047955</v>
      </c>
      <c r="K5" s="6">
        <f t="shared" si="1"/>
        <v>-2.2057978509160234</v>
      </c>
    </row>
    <row r="6" spans="2:11" x14ac:dyDescent="0.25">
      <c r="B6">
        <f t="shared" ref="B6:B24" si="2">B5+1</f>
        <v>2027</v>
      </c>
      <c r="C6" s="2">
        <v>70002.951066309513</v>
      </c>
      <c r="D6" s="2">
        <v>65879.775513036511</v>
      </c>
      <c r="E6" s="2">
        <v>65990.82048530443</v>
      </c>
      <c r="G6" s="6">
        <f t="shared" si="0"/>
        <v>-4123.1755532730022</v>
      </c>
      <c r="H6" s="6">
        <f t="shared" si="0"/>
        <v>111.04497226791864</v>
      </c>
      <c r="I6" s="6"/>
      <c r="J6" s="6">
        <f t="shared" si="1"/>
        <v>-470.68214078458931</v>
      </c>
      <c r="K6" s="6">
        <f t="shared" si="1"/>
        <v>12.676366697250986</v>
      </c>
    </row>
    <row r="7" spans="2:11" x14ac:dyDescent="0.25">
      <c r="B7">
        <f t="shared" si="2"/>
        <v>2028</v>
      </c>
      <c r="C7" s="2">
        <v>74392.941580360799</v>
      </c>
      <c r="D7" s="2">
        <v>68146.066414824876</v>
      </c>
      <c r="E7" s="2">
        <v>68436.949611208984</v>
      </c>
      <c r="G7" s="6">
        <f t="shared" si="0"/>
        <v>-6246.8751655359229</v>
      </c>
      <c r="H7" s="6">
        <f t="shared" si="0"/>
        <v>290.88319638410758</v>
      </c>
      <c r="I7" s="6"/>
      <c r="J7" s="6">
        <f t="shared" si="1"/>
        <v>-713.11360337168071</v>
      </c>
      <c r="K7" s="6">
        <f t="shared" si="1"/>
        <v>33.205844336085342</v>
      </c>
    </row>
    <row r="8" spans="2:11" x14ac:dyDescent="0.25">
      <c r="B8">
        <f t="shared" si="2"/>
        <v>2029</v>
      </c>
      <c r="C8" s="2">
        <v>76337.934658189944</v>
      </c>
      <c r="D8" s="2">
        <v>69351.206396989699</v>
      </c>
      <c r="E8" s="2">
        <v>69808.95318550682</v>
      </c>
      <c r="G8" s="6">
        <f t="shared" si="0"/>
        <v>-6986.7282612002455</v>
      </c>
      <c r="H8" s="6">
        <f t="shared" si="0"/>
        <v>457.74678851712088</v>
      </c>
      <c r="I8" s="6"/>
      <c r="J8" s="6">
        <f t="shared" si="1"/>
        <v>-797.57171931509652</v>
      </c>
      <c r="K8" s="6">
        <f t="shared" si="1"/>
        <v>52.254199602411063</v>
      </c>
    </row>
    <row r="9" spans="2:11" x14ac:dyDescent="0.25">
      <c r="B9">
        <f t="shared" si="2"/>
        <v>2030</v>
      </c>
      <c r="C9" s="2">
        <v>77985.226410133793</v>
      </c>
      <c r="D9" s="2">
        <v>70009.903733608429</v>
      </c>
      <c r="E9" s="2">
        <v>70614.470879174289</v>
      </c>
      <c r="G9" s="6">
        <f t="shared" si="0"/>
        <v>-7975.3226765253639</v>
      </c>
      <c r="H9" s="6">
        <f t="shared" si="0"/>
        <v>604.56714556585939</v>
      </c>
      <c r="I9" s="6"/>
      <c r="J9" s="6">
        <f t="shared" si="1"/>
        <v>-910.42496307367173</v>
      </c>
      <c r="K9" s="6">
        <f t="shared" si="1"/>
        <v>69.014514334002214</v>
      </c>
    </row>
    <row r="10" spans="2:11" x14ac:dyDescent="0.25">
      <c r="B10">
        <f t="shared" si="2"/>
        <v>2031</v>
      </c>
      <c r="C10" s="2">
        <v>79307.466882199573</v>
      </c>
      <c r="D10" s="2">
        <v>71013.982079697089</v>
      </c>
      <c r="E10" s="2">
        <v>71793.999332568026</v>
      </c>
      <c r="G10" s="6">
        <f t="shared" si="0"/>
        <v>-8293.4848025024839</v>
      </c>
      <c r="H10" s="6">
        <f t="shared" si="0"/>
        <v>780.01725287093723</v>
      </c>
      <c r="I10" s="6"/>
      <c r="J10" s="6">
        <f t="shared" si="1"/>
        <v>-946.74484046832015</v>
      </c>
      <c r="K10" s="6">
        <f t="shared" si="1"/>
        <v>89.043065396225714</v>
      </c>
    </row>
    <row r="11" spans="2:11" x14ac:dyDescent="0.25">
      <c r="B11">
        <f t="shared" si="2"/>
        <v>2032</v>
      </c>
      <c r="C11" s="2">
        <v>79307.589896023826</v>
      </c>
      <c r="D11" s="2">
        <v>71432.860481428579</v>
      </c>
      <c r="E11" s="2">
        <v>72349.835034207426</v>
      </c>
      <c r="G11" s="6">
        <f t="shared" si="0"/>
        <v>-7874.7294145952474</v>
      </c>
      <c r="H11" s="6">
        <f t="shared" si="0"/>
        <v>916.97455277884728</v>
      </c>
      <c r="I11" s="6"/>
      <c r="J11" s="6">
        <f t="shared" si="1"/>
        <v>-898.9417139948913</v>
      </c>
      <c r="K11" s="6">
        <f t="shared" si="1"/>
        <v>104.67746036288212</v>
      </c>
    </row>
    <row r="12" spans="2:11" x14ac:dyDescent="0.25">
      <c r="B12">
        <f t="shared" si="2"/>
        <v>2033</v>
      </c>
      <c r="C12" s="2">
        <v>78848.403442893774</v>
      </c>
      <c r="D12" s="2">
        <v>71331.437728632591</v>
      </c>
      <c r="E12" s="2">
        <v>73012.401280606005</v>
      </c>
      <c r="G12" s="6">
        <f t="shared" si="0"/>
        <v>-7516.9657142611832</v>
      </c>
      <c r="H12" s="6">
        <f t="shared" si="0"/>
        <v>1680.9635519734147</v>
      </c>
      <c r="I12" s="6"/>
      <c r="J12" s="6">
        <f t="shared" si="1"/>
        <v>-858.10110893392505</v>
      </c>
      <c r="K12" s="6">
        <f t="shared" si="1"/>
        <v>191.89081643532131</v>
      </c>
    </row>
    <row r="13" spans="2:11" x14ac:dyDescent="0.25">
      <c r="B13">
        <f t="shared" si="2"/>
        <v>2034</v>
      </c>
      <c r="C13" s="2">
        <v>79046.334588469384</v>
      </c>
      <c r="D13" s="2">
        <v>72214.531457807519</v>
      </c>
      <c r="E13" s="2">
        <v>73222.446488695656</v>
      </c>
      <c r="G13" s="6">
        <f t="shared" si="0"/>
        <v>-6831.803130661865</v>
      </c>
      <c r="H13" s="6">
        <f t="shared" si="0"/>
        <v>1007.9150308881362</v>
      </c>
      <c r="I13" s="6"/>
      <c r="J13" s="6">
        <f t="shared" si="1"/>
        <v>-779.88620213034994</v>
      </c>
      <c r="K13" s="6">
        <f t="shared" si="1"/>
        <v>115.05879348038086</v>
      </c>
    </row>
    <row r="14" spans="2:11" x14ac:dyDescent="0.25">
      <c r="B14">
        <f t="shared" si="2"/>
        <v>2035</v>
      </c>
      <c r="C14" s="2">
        <v>79332.780149293714</v>
      </c>
      <c r="D14" s="2">
        <v>72554.645578903583</v>
      </c>
      <c r="E14" s="2">
        <v>73664.097637872444</v>
      </c>
      <c r="G14" s="6">
        <f t="shared" si="0"/>
        <v>-6778.1345703901316</v>
      </c>
      <c r="H14" s="6">
        <f t="shared" si="0"/>
        <v>1109.4520589688618</v>
      </c>
      <c r="I14" s="6"/>
      <c r="J14" s="6">
        <f t="shared" si="1"/>
        <v>-773.75965415412463</v>
      </c>
      <c r="K14" s="6">
        <f t="shared" si="1"/>
        <v>126.64977842110295</v>
      </c>
    </row>
    <row r="15" spans="2:11" x14ac:dyDescent="0.25">
      <c r="B15">
        <f t="shared" si="2"/>
        <v>2036</v>
      </c>
      <c r="C15" s="2">
        <v>79578.176046509034</v>
      </c>
      <c r="D15" s="2">
        <v>73172.597258856491</v>
      </c>
      <c r="E15" s="2">
        <v>73543.786059869075</v>
      </c>
      <c r="G15" s="6">
        <f t="shared" si="0"/>
        <v>-6405.5787876525428</v>
      </c>
      <c r="H15" s="6">
        <f t="shared" si="0"/>
        <v>371.18880101258401</v>
      </c>
      <c r="I15" s="6"/>
      <c r="J15" s="6">
        <f t="shared" si="1"/>
        <v>-731.23045521147753</v>
      </c>
      <c r="K15" s="6">
        <f t="shared" si="1"/>
        <v>42.373150800523291</v>
      </c>
    </row>
    <row r="16" spans="2:11" x14ac:dyDescent="0.25">
      <c r="B16">
        <f t="shared" si="2"/>
        <v>2037</v>
      </c>
      <c r="C16" s="2">
        <v>80064.174802994981</v>
      </c>
      <c r="D16" s="2">
        <v>74063.647869887005</v>
      </c>
      <c r="E16" s="2">
        <v>75233.076603297988</v>
      </c>
      <c r="G16" s="6">
        <f t="shared" si="0"/>
        <v>-6000.5269331079762</v>
      </c>
      <c r="H16" s="6">
        <f t="shared" si="0"/>
        <v>1169.4287334109831</v>
      </c>
      <c r="I16" s="6"/>
      <c r="J16" s="6">
        <f t="shared" si="1"/>
        <v>-684.99165903059088</v>
      </c>
      <c r="K16" s="6">
        <f t="shared" si="1"/>
        <v>133.49643075467844</v>
      </c>
    </row>
    <row r="17" spans="2:11" x14ac:dyDescent="0.25">
      <c r="B17">
        <f t="shared" si="2"/>
        <v>2038</v>
      </c>
      <c r="C17" s="2">
        <v>80606.357463996668</v>
      </c>
      <c r="D17" s="2">
        <v>74822.862729103232</v>
      </c>
      <c r="E17" s="2">
        <v>75879.282444121665</v>
      </c>
      <c r="G17" s="6">
        <f t="shared" si="0"/>
        <v>-5783.4947348934365</v>
      </c>
      <c r="H17" s="6">
        <f t="shared" si="0"/>
        <v>1056.4197150184336</v>
      </c>
      <c r="I17" s="6"/>
      <c r="J17" s="6">
        <f t="shared" si="1"/>
        <v>-660.21629393760691</v>
      </c>
      <c r="K17" s="6">
        <f t="shared" si="1"/>
        <v>120.59585787881663</v>
      </c>
    </row>
    <row r="18" spans="2:11" x14ac:dyDescent="0.25">
      <c r="B18">
        <f t="shared" si="2"/>
        <v>2039</v>
      </c>
      <c r="C18" s="2">
        <v>81237.897735984807</v>
      </c>
      <c r="D18" s="2">
        <v>75666.383222888544</v>
      </c>
      <c r="E18" s="2">
        <v>76616.119061550969</v>
      </c>
      <c r="G18" s="6">
        <f t="shared" si="0"/>
        <v>-5571.5145130962628</v>
      </c>
      <c r="H18" s="6">
        <f t="shared" si="0"/>
        <v>949.73583866242552</v>
      </c>
      <c r="I18" s="6"/>
      <c r="J18" s="6">
        <f t="shared" si="1"/>
        <v>-636.01763848130861</v>
      </c>
      <c r="K18" s="6">
        <f t="shared" si="1"/>
        <v>108.41733318064219</v>
      </c>
    </row>
    <row r="19" spans="2:11" x14ac:dyDescent="0.25">
      <c r="B19">
        <f t="shared" si="2"/>
        <v>2040</v>
      </c>
      <c r="C19" s="2">
        <v>81727.15103399301</v>
      </c>
      <c r="D19" s="2">
        <v>76475.733448952262</v>
      </c>
      <c r="E19" s="2">
        <v>77337.904564014345</v>
      </c>
      <c r="G19" s="6">
        <f t="shared" si="0"/>
        <v>-5251.4175850407482</v>
      </c>
      <c r="H19" s="6">
        <f t="shared" si="0"/>
        <v>862.17111506208312</v>
      </c>
      <c r="I19" s="6"/>
      <c r="J19" s="6">
        <f t="shared" si="1"/>
        <v>-599.47689326949182</v>
      </c>
      <c r="K19" s="6">
        <f t="shared" si="1"/>
        <v>98.421360166904464</v>
      </c>
    </row>
    <row r="20" spans="2:11" x14ac:dyDescent="0.25">
      <c r="B20">
        <f t="shared" si="2"/>
        <v>2041</v>
      </c>
      <c r="C20" s="2">
        <v>82583.387458995931</v>
      </c>
      <c r="D20" s="2">
        <v>77504.057842690556</v>
      </c>
      <c r="E20" s="2">
        <v>78413.21077119933</v>
      </c>
      <c r="G20" s="6">
        <f t="shared" si="0"/>
        <v>-5079.3296163053747</v>
      </c>
      <c r="H20" s="6">
        <f t="shared" si="0"/>
        <v>909.15292850877449</v>
      </c>
      <c r="I20" s="6"/>
      <c r="J20" s="6">
        <f t="shared" si="1"/>
        <v>-579.83214798006566</v>
      </c>
      <c r="K20" s="6">
        <f t="shared" si="1"/>
        <v>103.78458087999709</v>
      </c>
    </row>
    <row r="21" spans="2:11" x14ac:dyDescent="0.25">
      <c r="B21">
        <f t="shared" si="2"/>
        <v>2042</v>
      </c>
      <c r="C21" s="2">
        <v>83677.896540993213</v>
      </c>
      <c r="D21" s="2">
        <v>78007.087723871169</v>
      </c>
      <c r="E21" s="2">
        <v>79965.390333084637</v>
      </c>
      <c r="G21" s="6">
        <f t="shared" si="0"/>
        <v>-5670.8088171220443</v>
      </c>
      <c r="H21" s="6">
        <f t="shared" si="0"/>
        <v>1958.3026092134678</v>
      </c>
      <c r="I21" s="6"/>
      <c r="J21" s="6">
        <f t="shared" si="1"/>
        <v>-647.35260469429727</v>
      </c>
      <c r="K21" s="6">
        <f t="shared" si="1"/>
        <v>223.55052616592099</v>
      </c>
    </row>
    <row r="22" spans="2:11" x14ac:dyDescent="0.25">
      <c r="B22">
        <f t="shared" si="2"/>
        <v>2043</v>
      </c>
      <c r="C22" s="2" t="s">
        <v>10</v>
      </c>
      <c r="D22" s="2">
        <v>80298.260169882458</v>
      </c>
      <c r="E22" s="2">
        <v>80869.477792298145</v>
      </c>
      <c r="G22" s="6"/>
      <c r="H22" s="6"/>
      <c r="I22" s="6"/>
    </row>
    <row r="23" spans="2:11" x14ac:dyDescent="0.25">
      <c r="B23">
        <f t="shared" si="2"/>
        <v>2044</v>
      </c>
      <c r="C23" s="2" t="s">
        <v>10</v>
      </c>
      <c r="D23" s="2">
        <v>81235.033812744077</v>
      </c>
      <c r="E23" s="2">
        <v>81711.987890287681</v>
      </c>
      <c r="G23" s="6"/>
      <c r="H23" s="6"/>
      <c r="I23" s="6"/>
    </row>
    <row r="24" spans="2:11" x14ac:dyDescent="0.25">
      <c r="B24">
        <f t="shared" si="2"/>
        <v>2045</v>
      </c>
      <c r="C24" s="2" t="s">
        <v>10</v>
      </c>
      <c r="D24" s="2">
        <v>82461.691863870656</v>
      </c>
      <c r="E24" s="2">
        <v>82811.925363133865</v>
      </c>
      <c r="G24" s="6"/>
      <c r="H24" s="6"/>
      <c r="I2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 Wd&amp;PV Proxy</vt:lpstr>
      <vt:lpstr>Table 2 WD&amp;PV AvoidedCost</vt:lpstr>
      <vt:lpstr>SCCT</vt:lpstr>
      <vt:lpstr>Load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MacNeil, Daniel (PacifiCorp)</dc:creator>
  <cp:lastModifiedBy>MacNeil, Daniel (PacifiCorp)</cp:lastModifiedBy>
  <dcterms:created xsi:type="dcterms:W3CDTF">2025-09-29T22:42:10Z</dcterms:created>
  <dcterms:modified xsi:type="dcterms:W3CDTF">2025-10-03T17:07:16Z</dcterms:modified>
</cp:coreProperties>
</file>